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vcs024.sharepoint.com/sites/Program/Shared Documents/General/VCS Program/Methodologies/Methodology Approval Process/Methodologies Under Development/Under Development/M0370, Revision to AMS-III.Y - Dairy Farms, 3Degrees Group/6 Final Review and Approval/Round 1 Review/"/>
    </mc:Choice>
  </mc:AlternateContent>
  <xr:revisionPtr revIDLastSave="0" documentId="8_{EDD821F3-97AE-4D4F-8E85-ACDA6DF8BCB3}" xr6:coauthVersionLast="47" xr6:coauthVersionMax="47" xr10:uidLastSave="{00000000-0000-0000-0000-000000000000}"/>
  <bookViews>
    <workbookView xWindow="22930" yWindow="-9980" windowWidth="27340" windowHeight="16780" xr2:uid="{F3E1DDD9-3986-4F11-9504-8134D841BFBD}"/>
  </bookViews>
  <sheets>
    <sheet name="Information" sheetId="1" r:id="rId1"/>
    <sheet name="BE-manure-No organic bedding" sheetId="2" r:id="rId2"/>
    <sheet name="BE - Manure-Organic Bedding" sheetId="9" r:id="rId3"/>
    <sheet name="BE-wastewater" sheetId="4" r:id="rId4"/>
    <sheet name="PE-manure" sheetId="5" r:id="rId5"/>
    <sheet name="PE-wastewater" sheetId="10" r:id="rId6"/>
    <sheet name="Leakag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9" l="1"/>
  <c r="Q36" i="2"/>
  <c r="Q33" i="2"/>
  <c r="H66" i="2"/>
  <c r="K50" i="2"/>
  <c r="J48" i="2"/>
  <c r="I47" i="2"/>
  <c r="G31" i="8"/>
  <c r="L83" i="10"/>
  <c r="L64" i="10"/>
  <c r="H103" i="10"/>
  <c r="G129" i="10"/>
  <c r="G124" i="10"/>
  <c r="G93" i="5"/>
  <c r="G92" i="5"/>
  <c r="G80" i="5"/>
  <c r="H71" i="5"/>
  <c r="L54" i="5"/>
  <c r="L49" i="5"/>
  <c r="F73" i="9"/>
  <c r="F72" i="9"/>
  <c r="F54" i="9"/>
  <c r="K54" i="2"/>
  <c r="J50" i="2"/>
  <c r="J47" i="2"/>
  <c r="H69" i="2"/>
  <c r="O23" i="4"/>
  <c r="O24" i="4"/>
  <c r="C11" i="8"/>
  <c r="C10" i="8"/>
  <c r="D10" i="10"/>
  <c r="D9" i="10"/>
  <c r="H33" i="10"/>
  <c r="H32" i="10"/>
  <c r="E33" i="10"/>
  <c r="E32" i="10"/>
  <c r="F33" i="10"/>
  <c r="F32" i="10"/>
  <c r="G33" i="10"/>
  <c r="G32" i="10"/>
  <c r="G130" i="10"/>
  <c r="G125" i="10"/>
  <c r="W118" i="10"/>
  <c r="W117" i="10"/>
  <c r="W116" i="10"/>
  <c r="W115" i="10"/>
  <c r="W114" i="10"/>
  <c r="W113" i="10"/>
  <c r="G113" i="10"/>
  <c r="G112" i="10"/>
  <c r="H104" i="10"/>
  <c r="L87" i="10"/>
  <c r="L86" i="10"/>
  <c r="L88" i="10" s="1"/>
  <c r="E48" i="10" s="1"/>
  <c r="L84" i="10"/>
  <c r="L68" i="10"/>
  <c r="L67" i="10"/>
  <c r="L69" i="10" s="1"/>
  <c r="D48" i="10" s="1"/>
  <c r="L65" i="10"/>
  <c r="G33" i="5"/>
  <c r="G32" i="5"/>
  <c r="F33" i="5"/>
  <c r="F32" i="5"/>
  <c r="E32" i="5"/>
  <c r="D33" i="5"/>
  <c r="D32" i="5"/>
  <c r="H72" i="5"/>
  <c r="L59" i="5"/>
  <c r="L58" i="5"/>
  <c r="L57" i="5"/>
  <c r="L56" i="5"/>
  <c r="L55" i="5"/>
  <c r="L60" i="5" s="1"/>
  <c r="L53" i="5"/>
  <c r="L52" i="5"/>
  <c r="L51" i="5"/>
  <c r="L50" i="5"/>
  <c r="N24" i="4"/>
  <c r="N23" i="4"/>
  <c r="C12" i="9"/>
  <c r="I37" i="9"/>
  <c r="H37" i="9"/>
  <c r="I36" i="9"/>
  <c r="H36" i="9"/>
  <c r="N36" i="9" s="1"/>
  <c r="H35" i="9"/>
  <c r="N35" i="9"/>
  <c r="I35" i="9"/>
  <c r="H33" i="9"/>
  <c r="H32" i="9"/>
  <c r="H31" i="9"/>
  <c r="I33" i="9"/>
  <c r="I32" i="9"/>
  <c r="I31" i="9"/>
  <c r="N37" i="9"/>
  <c r="L66" i="10" l="1"/>
  <c r="D47" i="10" s="1"/>
  <c r="L85" i="10"/>
  <c r="E47" i="10" s="1"/>
  <c r="H32" i="5"/>
  <c r="D9" i="5" s="1"/>
  <c r="N38" i="9"/>
  <c r="M37" i="9" l="1"/>
  <c r="M36" i="9"/>
  <c r="M35" i="9"/>
  <c r="G32" i="8" l="1"/>
  <c r="F48" i="10"/>
  <c r="D33" i="10" s="1"/>
  <c r="F47" i="10"/>
  <c r="D32" i="10" s="1"/>
  <c r="G98" i="5"/>
  <c r="E33" i="5" s="1"/>
  <c r="H33" i="5" s="1"/>
  <c r="D10" i="5" s="1"/>
  <c r="G97" i="5"/>
  <c r="G81" i="5"/>
  <c r="P23" i="4"/>
  <c r="D10" i="4" s="1"/>
  <c r="P24" i="4"/>
  <c r="D11" i="4" s="1"/>
  <c r="F75" i="9"/>
  <c r="F74" i="9"/>
  <c r="F57" i="9"/>
  <c r="F56" i="9"/>
  <c r="F55" i="9"/>
  <c r="F53" i="9"/>
  <c r="F52" i="9"/>
  <c r="F51" i="9"/>
  <c r="H72" i="2"/>
  <c r="H71" i="2"/>
  <c r="H70" i="2"/>
  <c r="H67" i="2"/>
  <c r="H68" i="2"/>
  <c r="J53" i="2"/>
  <c r="I53" i="2"/>
  <c r="J52" i="2"/>
  <c r="I52" i="2"/>
  <c r="J51" i="2"/>
  <c r="I51" i="2"/>
  <c r="I48" i="2"/>
  <c r="I49" i="2"/>
  <c r="H73" i="2" l="1"/>
  <c r="J34" i="2" s="1"/>
  <c r="J35" i="2"/>
  <c r="I54" i="2"/>
  <c r="F58" i="9"/>
  <c r="J54" i="2"/>
  <c r="I50" i="2"/>
  <c r="J31" i="2" l="1"/>
  <c r="J32" i="2"/>
  <c r="F35" i="2"/>
  <c r="Q35" i="2" s="1"/>
  <c r="M33" i="9"/>
  <c r="N33" i="9" s="1"/>
  <c r="M31" i="9"/>
  <c r="N34" i="9" s="1"/>
  <c r="C11" i="9" s="1"/>
  <c r="M32" i="9"/>
  <c r="N32" i="9" s="1"/>
  <c r="W86" i="5"/>
  <c r="W85" i="5"/>
  <c r="W84" i="5"/>
  <c r="W83" i="5"/>
  <c r="W82" i="5"/>
  <c r="W81" i="5"/>
  <c r="J49" i="2"/>
  <c r="F34" i="2" l="1"/>
  <c r="M34" i="2" s="1"/>
  <c r="D14" i="2"/>
  <c r="F31" i="2" l="1"/>
  <c r="M31" i="2" s="1"/>
  <c r="F32" i="2"/>
  <c r="Q32" i="2" s="1"/>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tc={EAE2B35C-900D-4F37-9691-3558AD35210F}</author>
  </authors>
  <commentList>
    <comment ref="M34" authorId="0" shapeId="0" xr:uid="{EAE2B35C-900D-4F37-9691-3558AD35210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J34 should be multiplied post converting the mass of separated solids to tons.
Reply:
    @Pooja Verma J34 should not have units. Ms is a fraction on mass basis, but PP should use the same mass unit in both nominator and denominator, so it cancels out.
Reply:
    Agree but the as per equation 1 the product of MS and MCF with the product of the rest of parameters converted to tons since the value returned will be in kilograms. It follows BODMAS rule. brackets will be computed first.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tc={CE287F03-4F9B-4329-9CEA-56498D089BF4}</author>
  </authors>
  <commentList>
    <comment ref="F96" authorId="0" shapeId="0" xr:uid="{CE287F03-4F9B-4329-9CEA-56498D089BF4}">
      <text>
        <t>[Threaded comment]
Your version of Excel allows you to read this threaded comment; however, any edits to it will get removed if the file is opened in a newer version of Excel. Learn more: https://go.microsoft.com/fwlink/?linkid=870924
Comment:
    why is the value of EFfossil fuel different for 2023 and 2024.
Reply:
    @Pooja Verma This is only an example, I was checking that all cells were properly linked. However, yes, the EF will need to remain the same as its not a monitoring parameter
Reply:
    okay</t>
      </text>
    </comment>
  </commentList>
</comments>
</file>

<file path=xl/sharedStrings.xml><?xml version="1.0" encoding="utf-8"?>
<sst xmlns="http://schemas.openxmlformats.org/spreadsheetml/2006/main" count="401" uniqueCount="207">
  <si>
    <t>Quantification Spreadsheet for VMR0018 - Revision to CDM methodology AMS-III.Y.</t>
  </si>
  <si>
    <t xml:space="preserve">Information about this resource: </t>
  </si>
  <si>
    <t xml:space="preserve">-This spreadsheet was developed by Verra to support the development of the methodology VMR0018,  Revision of AMS-III.Y, approved on 29 May 2026
-If any discrepancies with the methodology are encountered, the methodology requirements contained in the VMR0018 document shall take precedence.
-Users are encouraged to use this spreadsheet to improve their understanding of the methodology and test the quantification approach using real data. Please provide any feedback or areas of improvement related to the quantification approach to @methodologies@verra.org. 
-The spreadsheet includes faux data for an illustrated example </t>
  </si>
  <si>
    <t xml:space="preserve"> </t>
  </si>
  <si>
    <t>Instructions:</t>
  </si>
  <si>
    <t>Adjust each tab to reflect project-specific conditions, including the timeframe, number and type of animals, baseline treratment system, etc. This may require adding or removing the number of rows and columns included in the illustrative example.</t>
  </si>
  <si>
    <t>Legend:</t>
  </si>
  <si>
    <t>Input data</t>
  </si>
  <si>
    <t>Default Values</t>
  </si>
  <si>
    <t>Do not fill</t>
  </si>
  <si>
    <t>Intermediate output</t>
  </si>
  <si>
    <t>Output</t>
  </si>
  <si>
    <t>Baseline Emissions from barns that do not use oprganic bedding material</t>
  </si>
  <si>
    <t>Baseline emissions summary per year</t>
  </si>
  <si>
    <t>Year</t>
  </si>
  <si>
    <t>BEy</t>
  </si>
  <si>
    <t>Parameters when solids are separated through conventional filters (Equation 1)</t>
  </si>
  <si>
    <t>Parameters when solids are separated through biofilters (Equation 1b)</t>
  </si>
  <si>
    <t>Parameter</t>
  </si>
  <si>
    <t>YEAR</t>
  </si>
  <si>
    <t>Bo,w,y</t>
  </si>
  <si>
    <t>UFb</t>
  </si>
  <si>
    <t>GWP_CH4</t>
  </si>
  <si>
    <t>D_CH4</t>
  </si>
  <si>
    <t>Mss,y</t>
  </si>
  <si>
    <t>VSss,y</t>
  </si>
  <si>
    <t>BEy,i</t>
  </si>
  <si>
    <t>VSy,in</t>
  </si>
  <si>
    <t>VSy,out</t>
  </si>
  <si>
    <t>Qy,m</t>
  </si>
  <si>
    <t>Description (Unit)</t>
  </si>
  <si>
    <t xml:space="preserve">Year </t>
  </si>
  <si>
    <t xml:space="preserve">Weighted methane-producing potential of the VS separated by the project
(m3 CH4 /kg of VS) - obtained from Eq4
</t>
  </si>
  <si>
    <t>Model correction factor</t>
  </si>
  <si>
    <t>GWP of Methane</t>
  </si>
  <si>
    <t>Density of CH4 at 20C and 1 atm (kg/m3)</t>
  </si>
  <si>
    <t>Bseline treatment systems (result from summation)</t>
  </si>
  <si>
    <t>Mass (on dry basis) of separated solids
(kg)</t>
  </si>
  <si>
    <t>VS content of separated solids on dry basis (kg/kg)</t>
  </si>
  <si>
    <t>Baseline emissions from separated solids from barns that no not use organic bedding material (tCO2)</t>
  </si>
  <si>
    <t>Volatile solids of the liquid fraction entering the biofiltration system
(kg/m3)</t>
  </si>
  <si>
    <t>Volatile solids of the liquid fraction leaving the biofiltration system
(kg/m3)</t>
  </si>
  <si>
    <t>Total volume of liquid processed in the biofiltration system (m3)</t>
  </si>
  <si>
    <t>Baseline emissions from separated solids from barns that no not use organic bedding material, for which the baseline treatment system is i.  (tCO2)</t>
  </si>
  <si>
    <t>Baseline emissions from solids separated using conventional systems</t>
  </si>
  <si>
    <t>Baseline emissions from solids separated using biofiltration systems</t>
  </si>
  <si>
    <t>Result</t>
  </si>
  <si>
    <t>Determination of the weighted average methane producing potential  - Equation 4 - rows must be added/removed as needed</t>
  </si>
  <si>
    <t>Parameters</t>
  </si>
  <si>
    <t>Bo,LT</t>
  </si>
  <si>
    <t>N_LT,y</t>
  </si>
  <si>
    <t>VS_LT,y</t>
  </si>
  <si>
    <t>Bo,LT x N_LT x VS_LT,y</t>
  </si>
  <si>
    <t xml:space="preserve"> N_LT x VS_LT,y</t>
  </si>
  <si>
    <t>Maximum methane-producing potential of manure generated by animal type LT (m3 CH4/kg VS)</t>
  </si>
  <si>
    <t>Number of animals of livestock LT</t>
  </si>
  <si>
    <t>VS for livestock type LT in dry matter basis (kg/animal/year)</t>
  </si>
  <si>
    <t>Result from calculation</t>
  </si>
  <si>
    <t>Weighted methane-producing potential of the VS separated by the project
 (m3 CH4/kg VS)</t>
  </si>
  <si>
    <t>Animal type 1</t>
  </si>
  <si>
    <t>Animal type 2</t>
  </si>
  <si>
    <t>Animal type 3</t>
  </si>
  <si>
    <t>Determination of Baseline Treatment systems (input to Equations 1 and 1b)</t>
  </si>
  <si>
    <t>MSbl,i</t>
  </si>
  <si>
    <t>MCFb,i</t>
  </si>
  <si>
    <t>Result summation</t>
  </si>
  <si>
    <t>Fraction of manure handled in the baseline treatment system</t>
  </si>
  <si>
    <t>Methane conversion factor for baseline anaerobic treatment system</t>
  </si>
  <si>
    <t>Intermediate result for Equations 1 and 1b</t>
  </si>
  <si>
    <t>Baseline treatment system 1</t>
  </si>
  <si>
    <t>Baseline treatment system 2</t>
  </si>
  <si>
    <t>Baseline treatment system 3</t>
  </si>
  <si>
    <t>Baseline emissions from barns that use organic bedding material (calculation based on Eq 2)</t>
  </si>
  <si>
    <t>N_LT</t>
  </si>
  <si>
    <t>VS_LT</t>
  </si>
  <si>
    <t>P_LT</t>
  </si>
  <si>
    <t>Effbaseline</t>
  </si>
  <si>
    <t>EFFss,p,y</t>
  </si>
  <si>
    <t>Maximum methane-producing potential of manure generated by animal type LT
(m3 CH4 /kg of VS)</t>
  </si>
  <si>
    <t>VS excreted by animal type LT on dry matter basis (kg/animal/year)</t>
  </si>
  <si>
    <t>Average percent of manure from animal type LT that is delivered to the separation system (%)</t>
  </si>
  <si>
    <t>Separation efficiency of the baseline filtration system on dry matter basis (%)</t>
  </si>
  <si>
    <t>Separation efficiency of the project solid/liquid separation system measured on dry matter basis (%)</t>
  </si>
  <si>
    <t>GWP of Methane (tCO2/tCH4)</t>
  </si>
  <si>
    <t>Baseline emissions from separated solids from barns that use organic bedding material</t>
  </si>
  <si>
    <t>Baseline emissions from  livestock A</t>
  </si>
  <si>
    <t>Baseline emissions from  livestock B</t>
  </si>
  <si>
    <t>Baseline emissions from  livestock C</t>
  </si>
  <si>
    <t>Determination of Baseline Treatment systems (input to Equation 2)</t>
  </si>
  <si>
    <t>Determination of Baseline and Project separation Efficiency (Equation 3)</t>
  </si>
  <si>
    <t>%TS_infl</t>
  </si>
  <si>
    <t>%TS_Leinfl</t>
  </si>
  <si>
    <t>Percentage of total solids in the influent liquid stream (mass basis)</t>
  </si>
  <si>
    <t>Percentage of total solids in the effluent liquid stream (mass basis)</t>
  </si>
  <si>
    <t>Separation efficiency of the project solid/liquid separation system measured on dry matter basis</t>
  </si>
  <si>
    <t>Separation Efficiency of Baseline separation system (%)</t>
  </si>
  <si>
    <t>Separation Efficiency of project separation system (%)</t>
  </si>
  <si>
    <t>Baseline emissions from wastewater treatment systems</t>
  </si>
  <si>
    <t>Q_y,ww,in</t>
  </si>
  <si>
    <t>COD_y,in</t>
  </si>
  <si>
    <t>Q_y,ww,out</t>
  </si>
  <si>
    <t>COD_y,out</t>
  </si>
  <si>
    <t>Bo,ww</t>
  </si>
  <si>
    <t>MCF_ww,treatment</t>
  </si>
  <si>
    <r>
      <rPr>
        <sz val="11"/>
        <color theme="0"/>
        <rFont val="Times New Roman"/>
        <family val="1"/>
      </rPr>
      <t>Ƞ</t>
    </r>
    <r>
      <rPr>
        <sz val="11"/>
        <color theme="0"/>
        <rFont val="Aptos Narrow"/>
        <family val="2"/>
      </rPr>
      <t>_COD,BL</t>
    </r>
  </si>
  <si>
    <t>BE (Equation 5)</t>
  </si>
  <si>
    <t>BE (equation 6)</t>
  </si>
  <si>
    <t>Baseline emissions from WW</t>
  </si>
  <si>
    <t>volume of wastewater entering the solid separation device in year y (m3)</t>
  </si>
  <si>
    <t>Chemical oxygen demand of the WW entering the separation system (kg/m3)</t>
  </si>
  <si>
    <t>volume of wastewater leaving the solid separation device in year y (m3)</t>
  </si>
  <si>
    <t>Chemical oxygen demand of the WW leaving the separation system (kg/m3)</t>
  </si>
  <si>
    <t>methane producing capacity of the WW (kg CH4/kg COD)</t>
  </si>
  <si>
    <t>methane correction factor for baseline WW treatment</t>
  </si>
  <si>
    <t>COD removal efficiency in the baseline WW treatment (%)</t>
  </si>
  <si>
    <t>Baseline emissions from separated solids from wastewater treatment systems (tCO2)</t>
  </si>
  <si>
    <t>Project emissions from manure treatment projects</t>
  </si>
  <si>
    <t>Project emissions summary per year</t>
  </si>
  <si>
    <t>PEy</t>
  </si>
  <si>
    <t>Calculation of project emissions from manure treatment projects</t>
  </si>
  <si>
    <t>PE_y,ss</t>
  </si>
  <si>
    <t>PEy,power</t>
  </si>
  <si>
    <t>PEy,floc,comb</t>
  </si>
  <si>
    <t>PEy,trans</t>
  </si>
  <si>
    <t>PE_y</t>
  </si>
  <si>
    <t>Methane emissions from storage, use, disposal or destruction of solids (tCO2)</t>
  </si>
  <si>
    <t>Project emissions from energy use (tCO2)</t>
  </si>
  <si>
    <t>Project emissions from combustion of flocculants (tCO2)</t>
  </si>
  <si>
    <t>Project emissions from incremental  transportation of solids (tCO2)</t>
  </si>
  <si>
    <t>Project emissions from the manure project systems (tCO2)</t>
  </si>
  <si>
    <t xml:space="preserve">Calculation of project emissions from storage, treatment or use </t>
  </si>
  <si>
    <t>MCFs</t>
  </si>
  <si>
    <t>UFp</t>
  </si>
  <si>
    <t>VStss,y</t>
  </si>
  <si>
    <t>MTss,y</t>
  </si>
  <si>
    <t>Methane correction factor for solid storage, treatment or use</t>
  </si>
  <si>
    <t>Weighted methane-producing potential of the VS separated by the project (m3 CH4/kg VS)</t>
  </si>
  <si>
    <t>Volatile solids content of the stored/treated/used separated solids on dry matter basis (m3 CH3/kg VS)</t>
  </si>
  <si>
    <t>Mass of stored/treated/used separated solids on dry matter basis (kg)</t>
  </si>
  <si>
    <t>Emissions from storage</t>
  </si>
  <si>
    <t>Emissions from use (for example, as deep  bedding)</t>
  </si>
  <si>
    <t>Emissions from treatment</t>
  </si>
  <si>
    <t>Emissions from use of biofiltration systems</t>
  </si>
  <si>
    <t>Emissions from  the disposal of biofiltration systems</t>
  </si>
  <si>
    <t>Total</t>
  </si>
  <si>
    <t>Calculation of project emissions from incremental transportation of solids</t>
  </si>
  <si>
    <t>Qy,transp</t>
  </si>
  <si>
    <t>CTy</t>
  </si>
  <si>
    <t>DTy</t>
  </si>
  <si>
    <t>EFCO2</t>
  </si>
  <si>
    <t>Quantity of solids tranported in year y (tonnes)</t>
  </si>
  <si>
    <t>Average truck capacity  (tonnes/truck)</t>
  </si>
  <si>
    <t>average incremental distance (km/truck)</t>
  </si>
  <si>
    <t>CO2 EF fossil fuel used for transportation (tCO2/km)</t>
  </si>
  <si>
    <t>Calculation of project emissions from destruction of flocculants</t>
  </si>
  <si>
    <t>Tonne of flocculants used (t)</t>
  </si>
  <si>
    <t>EF (tCO2/tonne flocculant) - default</t>
  </si>
  <si>
    <t>PEy,floc,comb (cO2)</t>
  </si>
  <si>
    <t>Emissions from the use of flocculants</t>
  </si>
  <si>
    <t>Calculation of project emissions from power</t>
  </si>
  <si>
    <t>Energy consumed (kWh)</t>
  </si>
  <si>
    <t>EF (tCO2/MWh)</t>
  </si>
  <si>
    <t>PE electricity</t>
  </si>
  <si>
    <t>Emissions from electricity consumption</t>
  </si>
  <si>
    <t>m3-kg consumed</t>
  </si>
  <si>
    <t>EF (tCO2/kg-m3)</t>
  </si>
  <si>
    <t>PE fossil fuel consumption</t>
  </si>
  <si>
    <t>Emissions from fossil fuel consumption</t>
  </si>
  <si>
    <t>Project emissions from wastewater treatment projects</t>
  </si>
  <si>
    <t>Calculation of project emissions from wastewater treatment projects</t>
  </si>
  <si>
    <t>Methane emissions from treatment and disposal of separated solids (tCO2)</t>
  </si>
  <si>
    <t>Calculation of project emissions from treatment and disposal of separated solids</t>
  </si>
  <si>
    <t>PEy,s,treatment</t>
  </si>
  <si>
    <t>PEy,s,final</t>
  </si>
  <si>
    <t>Methane emissions from solid treatment system (tCO2)</t>
  </si>
  <si>
    <t>Methane emissions from anaerobic decay of the final solids (tCO2)</t>
  </si>
  <si>
    <t>Methane emissions from treatment and final disposal of solids (tCO2)</t>
  </si>
  <si>
    <t>Calculation of project emissions from treatment of separated solids</t>
  </si>
  <si>
    <t>M_ss,j,y</t>
  </si>
  <si>
    <t>MCFs,treatment,j</t>
  </si>
  <si>
    <t>DOCs</t>
  </si>
  <si>
    <t>UF_PJ</t>
  </si>
  <si>
    <t>DOC_F</t>
  </si>
  <si>
    <t>F</t>
  </si>
  <si>
    <t>Solids treated in system j (dry matter basis) - kg</t>
  </si>
  <si>
    <t>Methane correction factor for solid treatment system j</t>
  </si>
  <si>
    <t>Degredable organic content of solids (dry basis) -fraction</t>
  </si>
  <si>
    <t>Fraction of DOC dissimilated to biogas</t>
  </si>
  <si>
    <t>Fraction of methane in biogas</t>
  </si>
  <si>
    <t>Emissions from treatment 1</t>
  </si>
  <si>
    <t>Emissions from treatment 2</t>
  </si>
  <si>
    <t>Calculation of project emissions from final disposal of separated solids</t>
  </si>
  <si>
    <t>M_ss,final,y</t>
  </si>
  <si>
    <t>MCFs,final</t>
  </si>
  <si>
    <t>Solids delivered to final disposal (dry matter basis) - kg</t>
  </si>
  <si>
    <t>Methane correction factor of final disposal site</t>
  </si>
  <si>
    <t>Emissions from final disposal of separated solids</t>
  </si>
  <si>
    <t>Emissions from final disposal of biofiltration systems (if applicbale)</t>
  </si>
  <si>
    <t>Project emissions from manure and wastewater treatment projects</t>
  </si>
  <si>
    <t>Leakage emissions summary per year</t>
  </si>
  <si>
    <t>LEy</t>
  </si>
  <si>
    <t>Calculation of leakage emissions from equipment transferred from another activity</t>
  </si>
  <si>
    <t>Calculation of leakage emissions from manufactured ingredients in flocculants</t>
  </si>
  <si>
    <t>Mass of manufactured components in flocculants (tonnes)</t>
  </si>
  <si>
    <t>EF (tCO2/t flocculant)</t>
  </si>
  <si>
    <t>LE manufacture of flocculants (tCO2)</t>
  </si>
  <si>
    <t>Leakage from manufactured ingredients in flocculants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</si>
</sst>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 "/>
  </numFmts>
  <fonts count="17">
    <font>
      <sz val="11"/>
      <color theme="1"/>
      <name val="Aptos Narrow"/>
      <family val="2"/>
      <scheme val="minor"/>
    </font>
    <font>
      <b/>
      <sz val="11"/>
      <color theme="1"/>
      <name val="Aptos Narrow"/>
      <family val="2"/>
      <scheme val="minor"/>
    </font>
    <font>
      <sz val="11"/>
      <color theme="1"/>
      <name val="Aptos Narrow"/>
      <family val="1"/>
    </font>
    <font>
      <sz val="11"/>
      <color theme="1"/>
      <name val="Aptos Narrow"/>
      <family val="2"/>
      <scheme val="minor"/>
    </font>
    <font>
      <sz val="11"/>
      <color theme="0"/>
      <name val="Aptos Narrow"/>
      <family val="2"/>
      <scheme val="minor"/>
    </font>
    <font>
      <sz val="11"/>
      <color theme="1"/>
      <name val="Aptos Narrow"/>
      <family val="2"/>
      <charset val="134"/>
      <scheme val="minor"/>
    </font>
    <font>
      <sz val="12"/>
      <color theme="1"/>
      <name val="Aptos Narrow"/>
      <family val="3"/>
      <charset val="134"/>
      <scheme val="minor"/>
    </font>
    <font>
      <sz val="11"/>
      <color theme="1"/>
      <name val="Helvetica"/>
      <family val="2"/>
    </font>
    <font>
      <b/>
      <sz val="11"/>
      <color rgb="FF000000"/>
      <name val="Helvetica"/>
      <family val="2"/>
    </font>
    <font>
      <b/>
      <sz val="11"/>
      <color theme="1"/>
      <name val="Helvetica"/>
      <family val="2"/>
    </font>
    <font>
      <b/>
      <sz val="11"/>
      <color theme="0"/>
      <name val="Helvetica"/>
      <family val="2"/>
    </font>
    <font>
      <b/>
      <sz val="14"/>
      <color theme="1"/>
      <name val="Helvetica"/>
    </font>
    <font>
      <sz val="11"/>
      <color theme="0" tint="-4.9989318521683403E-2"/>
      <name val="Aptos Narrow"/>
      <family val="2"/>
      <scheme val="minor"/>
    </font>
    <font>
      <sz val="11"/>
      <color theme="0"/>
      <name val="Helvetica"/>
      <family val="2"/>
    </font>
    <font>
      <sz val="11"/>
      <color theme="0"/>
      <name val="Times New Roman"/>
      <family val="1"/>
    </font>
    <font>
      <sz val="11"/>
      <color theme="0"/>
      <name val="Aptos Narrow"/>
      <family val="2"/>
    </font>
    <font>
      <sz val="11"/>
      <name val="Aptos Narrow"/>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CC66"/>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1" tint="0.34998626667073579"/>
        <bgColor indexed="64"/>
      </patternFill>
    </fill>
    <fill>
      <patternFill patternType="solid">
        <fgColor rgb="FFFFE5E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diagonal/>
    </border>
    <border>
      <left style="medium">
        <color rgb="FF000000"/>
      </left>
      <right/>
      <top style="medium">
        <color indexed="64"/>
      </top>
      <bottom style="medium">
        <color indexed="64"/>
      </bottom>
      <diagonal/>
    </border>
    <border>
      <left/>
      <right style="thin">
        <color indexed="64"/>
      </right>
      <top style="thin">
        <color indexed="64"/>
      </top>
      <bottom/>
      <diagonal/>
    </border>
  </borders>
  <cellStyleXfs count="7">
    <xf numFmtId="0" fontId="0" fillId="0" borderId="0"/>
    <xf numFmtId="0" fontId="5" fillId="0" borderId="0">
      <alignment vertical="center"/>
    </xf>
    <xf numFmtId="0" fontId="6" fillId="0" borderId="0"/>
    <xf numFmtId="164" fontId="6" fillId="0" borderId="0" applyFont="0" applyFill="0" applyBorder="0" applyAlignment="0" applyProtection="0"/>
    <xf numFmtId="9" fontId="6" fillId="0" borderId="0" applyFont="0" applyFill="0" applyBorder="0" applyAlignment="0" applyProtection="0">
      <alignment vertical="center"/>
    </xf>
    <xf numFmtId="164" fontId="3" fillId="0" borderId="0" applyFont="0" applyFill="0" applyBorder="0" applyAlignment="0" applyProtection="0"/>
    <xf numFmtId="0" fontId="3" fillId="0" borderId="0"/>
  </cellStyleXfs>
  <cellXfs count="202">
    <xf numFmtId="0" fontId="0" fillId="0" borderId="0" xfId="0"/>
    <xf numFmtId="0" fontId="0" fillId="0" borderId="0" xfId="0" applyAlignment="1">
      <alignment vertical="center" wrapText="1"/>
    </xf>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3" borderId="0" xfId="0" applyFill="1"/>
    <xf numFmtId="0" fontId="0" fillId="5" borderId="0" xfId="0" applyFill="1"/>
    <xf numFmtId="0" fontId="7" fillId="4" borderId="4" xfId="0" applyFont="1" applyFill="1" applyBorder="1" applyAlignment="1">
      <alignment horizontal="center"/>
    </xf>
    <xf numFmtId="165" fontId="7" fillId="4" borderId="5" xfId="0" applyNumberFormat="1" applyFont="1" applyFill="1" applyBorder="1" applyAlignment="1">
      <alignment horizontal="center"/>
    </xf>
    <xf numFmtId="0" fontId="7" fillId="4" borderId="26" xfId="0" applyFont="1" applyFill="1" applyBorder="1" applyAlignment="1">
      <alignment horizontal="center"/>
    </xf>
    <xf numFmtId="165" fontId="7" fillId="4" borderId="27" xfId="0" applyNumberFormat="1" applyFont="1" applyFill="1" applyBorder="1" applyAlignment="1">
      <alignment horizontal="center"/>
    </xf>
    <xf numFmtId="0" fontId="1" fillId="3" borderId="0" xfId="0" applyFont="1" applyFill="1"/>
    <xf numFmtId="0" fontId="0" fillId="8" borderId="1" xfId="0" applyFill="1" applyBorder="1" applyAlignment="1">
      <alignment vertical="center" wrapText="1"/>
    </xf>
    <xf numFmtId="0" fontId="0" fillId="0" borderId="1" xfId="0" applyBorder="1" applyAlignment="1">
      <alignment vertical="center" wrapText="1"/>
    </xf>
    <xf numFmtId="0" fontId="0" fillId="0" borderId="1" xfId="0" applyBorder="1"/>
    <xf numFmtId="0" fontId="0" fillId="0" borderId="14" xfId="0" applyBorder="1" applyAlignment="1">
      <alignment vertical="center" wrapText="1"/>
    </xf>
    <xf numFmtId="0" fontId="0" fillId="0" borderId="7" xfId="0" applyBorder="1" applyAlignment="1">
      <alignment vertical="center" wrapText="1"/>
    </xf>
    <xf numFmtId="0" fontId="0" fillId="9" borderId="1" xfId="0" applyFill="1" applyBorder="1"/>
    <xf numFmtId="0" fontId="8" fillId="4" borderId="0" xfId="0" applyFont="1" applyFill="1" applyAlignment="1">
      <alignment horizontal="center" vertical="center" wrapText="1"/>
    </xf>
    <xf numFmtId="165" fontId="7" fillId="4" borderId="0" xfId="0" applyNumberFormat="1" applyFont="1" applyFill="1" applyAlignment="1">
      <alignment horizontal="center"/>
    </xf>
    <xf numFmtId="0" fontId="1" fillId="5" borderId="0" xfId="0" applyFont="1" applyFill="1"/>
    <xf numFmtId="0" fontId="0" fillId="0" borderId="0" xfId="0" applyAlignment="1">
      <alignment horizontal="center"/>
    </xf>
    <xf numFmtId="0" fontId="12" fillId="7" borderId="12" xfId="0" applyFont="1" applyFill="1" applyBorder="1" applyAlignment="1">
      <alignment horizontal="center" vertical="center" wrapText="1"/>
    </xf>
    <xf numFmtId="0" fontId="0" fillId="0" borderId="0" xfId="0" applyAlignment="1">
      <alignment horizontal="center" vertical="center"/>
    </xf>
    <xf numFmtId="0" fontId="12" fillId="7" borderId="11" xfId="0" applyFont="1" applyFill="1" applyBorder="1" applyAlignment="1">
      <alignment horizontal="center" vertical="center"/>
    </xf>
    <xf numFmtId="0" fontId="0" fillId="8" borderId="1" xfId="0" applyFill="1" applyBorder="1" applyAlignment="1">
      <alignment horizontal="center" vertical="center" wrapText="1"/>
    </xf>
    <xf numFmtId="0" fontId="0" fillId="8" borderId="6" xfId="0" applyFill="1" applyBorder="1" applyAlignment="1">
      <alignment horizontal="center" vertical="center" wrapText="1"/>
    </xf>
    <xf numFmtId="0" fontId="0" fillId="2" borderId="0" xfId="0" applyFill="1"/>
    <xf numFmtId="0" fontId="0" fillId="8" borderId="1" xfId="0" applyFill="1" applyBorder="1" applyAlignment="1">
      <alignment horizontal="center" vertical="center"/>
    </xf>
    <xf numFmtId="0" fontId="1" fillId="5" borderId="34" xfId="0" applyFont="1" applyFill="1" applyBorder="1"/>
    <xf numFmtId="0" fontId="12" fillId="7" borderId="22" xfId="0" applyFont="1" applyFill="1" applyBorder="1" applyAlignment="1">
      <alignment horizontal="center" vertical="center"/>
    </xf>
    <xf numFmtId="0" fontId="0" fillId="8" borderId="20" xfId="0" applyFill="1" applyBorder="1" applyAlignment="1">
      <alignment horizontal="center" vertical="center"/>
    </xf>
    <xf numFmtId="0" fontId="0" fillId="8" borderId="20" xfId="0" applyFill="1" applyBorder="1" applyAlignment="1">
      <alignment horizontal="center" vertical="center" wrapText="1"/>
    </xf>
    <xf numFmtId="0" fontId="10" fillId="0" borderId="0" xfId="1" applyFont="1" applyAlignment="1">
      <alignment horizontal="center" vertical="center"/>
    </xf>
    <xf numFmtId="0" fontId="4" fillId="7" borderId="0" xfId="0" applyFont="1" applyFill="1" applyAlignment="1">
      <alignment horizontal="center" vertical="center" wrapText="1"/>
    </xf>
    <xf numFmtId="0" fontId="4" fillId="7" borderId="1" xfId="0" applyFont="1" applyFill="1" applyBorder="1" applyAlignment="1">
      <alignment horizontal="center"/>
    </xf>
    <xf numFmtId="0" fontId="4"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horizontal="center" vertical="center"/>
    </xf>
    <xf numFmtId="0" fontId="0" fillId="0" borderId="9" xfId="0" applyBorder="1"/>
    <xf numFmtId="0" fontId="1" fillId="0" borderId="23" xfId="0" applyFont="1" applyBorder="1"/>
    <xf numFmtId="0" fontId="0" fillId="0" borderId="1" xfId="0" applyBorder="1" applyAlignment="1">
      <alignment horizontal="center" vertical="center"/>
    </xf>
    <xf numFmtId="0" fontId="12" fillId="7" borderId="39" xfId="0" applyFont="1" applyFill="1" applyBorder="1" applyAlignment="1">
      <alignment horizontal="center" vertical="center"/>
    </xf>
    <xf numFmtId="0" fontId="0" fillId="10" borderId="1" xfId="0" applyFill="1" applyBorder="1"/>
    <xf numFmtId="0" fontId="0" fillId="8" borderId="20" xfId="0" applyFill="1" applyBorder="1"/>
    <xf numFmtId="0" fontId="0" fillId="0" borderId="11" xfId="0" applyBorder="1" applyAlignment="1">
      <alignment vertical="center" wrapText="1"/>
    </xf>
    <xf numFmtId="0" fontId="0" fillId="10" borderId="12" xfId="0" applyFill="1" applyBorder="1"/>
    <xf numFmtId="0" fontId="0" fillId="2" borderId="37" xfId="0" applyFill="1" applyBorder="1"/>
    <xf numFmtId="0" fontId="0" fillId="0" borderId="36" xfId="0" applyBorder="1" applyAlignment="1">
      <alignment horizontal="center" vertical="center"/>
    </xf>
    <xf numFmtId="0" fontId="1" fillId="2" borderId="7" xfId="0" applyFont="1" applyFill="1" applyBorder="1" applyAlignment="1">
      <alignment vertical="center" wrapText="1"/>
    </xf>
    <xf numFmtId="0" fontId="0" fillId="2" borderId="15" xfId="0" applyFill="1" applyBorder="1" applyAlignment="1">
      <alignment vertical="center"/>
    </xf>
    <xf numFmtId="0" fontId="0" fillId="2" borderId="15" xfId="0" applyFill="1" applyBorder="1"/>
    <xf numFmtId="0" fontId="4" fillId="7" borderId="9" xfId="0" applyFont="1" applyFill="1" applyBorder="1" applyAlignment="1">
      <alignment horizontal="center" vertical="center" wrapText="1"/>
    </xf>
    <xf numFmtId="0" fontId="0" fillId="8" borderId="21" xfId="0"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 fillId="11" borderId="23" xfId="0" applyFont="1" applyFill="1" applyBorder="1"/>
    <xf numFmtId="0" fontId="12" fillId="7" borderId="1" xfId="0" applyFont="1" applyFill="1" applyBorder="1" applyAlignment="1">
      <alignment horizontal="center" vertical="center" wrapText="1"/>
    </xf>
    <xf numFmtId="0" fontId="2" fillId="8" borderId="1" xfId="0" applyFont="1" applyFill="1" applyBorder="1" applyAlignment="1">
      <alignment vertical="center" wrapText="1"/>
    </xf>
    <xf numFmtId="0" fontId="0" fillId="8" borderId="1" xfId="0" applyFill="1" applyBorder="1" applyAlignment="1">
      <alignment wrapText="1"/>
    </xf>
    <xf numFmtId="0" fontId="0" fillId="10" borderId="1" xfId="0" applyFill="1" applyBorder="1" applyAlignment="1">
      <alignment vertical="center" wrapText="1"/>
    </xf>
    <xf numFmtId="0" fontId="7" fillId="4" borderId="0" xfId="0" applyFont="1" applyFill="1" applyAlignment="1">
      <alignment horizontal="center"/>
    </xf>
    <xf numFmtId="0" fontId="4" fillId="7" borderId="1" xfId="0" applyFont="1" applyFill="1" applyBorder="1" applyAlignment="1">
      <alignment horizontal="center" vertical="center"/>
    </xf>
    <xf numFmtId="0" fontId="4" fillId="7" borderId="1" xfId="0" applyFont="1" applyFill="1" applyBorder="1" applyAlignment="1">
      <alignment vertical="center" wrapText="1"/>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wrapText="1"/>
    </xf>
    <xf numFmtId="0" fontId="4" fillId="7" borderId="1" xfId="0" applyFont="1" applyFill="1" applyBorder="1" applyAlignment="1">
      <alignment vertical="center"/>
    </xf>
    <xf numFmtId="0" fontId="0" fillId="8" borderId="9" xfId="0" applyFill="1" applyBorder="1" applyAlignment="1">
      <alignment vertical="center" wrapText="1"/>
    </xf>
    <xf numFmtId="0" fontId="0" fillId="6" borderId="0" xfId="0" applyFill="1"/>
    <xf numFmtId="0" fontId="0" fillId="0" borderId="1" xfId="0" applyBorder="1" applyAlignment="1">
      <alignment wrapText="1"/>
    </xf>
    <xf numFmtId="0" fontId="0" fillId="0" borderId="0" xfId="0" applyAlignment="1">
      <alignment wrapText="1"/>
    </xf>
    <xf numFmtId="0" fontId="4" fillId="7" borderId="1" xfId="0" applyFont="1" applyFill="1" applyBorder="1" applyAlignment="1">
      <alignment horizontal="center" wrapText="1"/>
    </xf>
    <xf numFmtId="0" fontId="12" fillId="7" borderId="20" xfId="0" applyFont="1" applyFill="1" applyBorder="1" applyAlignment="1">
      <alignment horizontal="center" vertical="center"/>
    </xf>
    <xf numFmtId="0" fontId="4" fillId="7" borderId="20" xfId="0" applyFont="1" applyFill="1" applyBorder="1" applyAlignment="1">
      <alignment horizontal="center"/>
    </xf>
    <xf numFmtId="0" fontId="4" fillId="7" borderId="20" xfId="0" applyFont="1" applyFill="1" applyBorder="1" applyAlignment="1">
      <alignment horizontal="center" wrapText="1"/>
    </xf>
    <xf numFmtId="0" fontId="4" fillId="7" borderId="21" xfId="0" applyFont="1" applyFill="1" applyBorder="1" applyAlignment="1">
      <alignment horizontal="center" vertical="center" wrapText="1"/>
    </xf>
    <xf numFmtId="0" fontId="4" fillId="7" borderId="20" xfId="0" applyFont="1" applyFill="1" applyBorder="1" applyAlignment="1">
      <alignment vertical="center" wrapText="1"/>
    </xf>
    <xf numFmtId="0" fontId="4" fillId="8" borderId="35" xfId="0" applyFont="1" applyFill="1" applyBorder="1" applyAlignment="1">
      <alignment horizontal="center"/>
    </xf>
    <xf numFmtId="0" fontId="16" fillId="8" borderId="35" xfId="0" applyFont="1" applyFill="1" applyBorder="1" applyAlignment="1">
      <alignment horizontal="center" wrapText="1"/>
    </xf>
    <xf numFmtId="0" fontId="16" fillId="8" borderId="41" xfId="0" applyFont="1" applyFill="1" applyBorder="1" applyAlignment="1">
      <alignment horizontal="center" vertical="center" wrapText="1"/>
    </xf>
    <xf numFmtId="0" fontId="16" fillId="8" borderId="41" xfId="0" applyFont="1" applyFill="1" applyBorder="1" applyAlignment="1">
      <alignment vertical="center" wrapText="1"/>
    </xf>
    <xf numFmtId="0" fontId="0" fillId="0" borderId="43" xfId="0" applyBorder="1"/>
    <xf numFmtId="0" fontId="0" fillId="0" borderId="38" xfId="0" applyBorder="1"/>
    <xf numFmtId="0" fontId="0" fillId="0" borderId="30" xfId="0" applyBorder="1"/>
    <xf numFmtId="0" fontId="0" fillId="12" borderId="16" xfId="0" applyFill="1" applyBorder="1"/>
    <xf numFmtId="0" fontId="1" fillId="12" borderId="16" xfId="0" applyFont="1" applyFill="1" applyBorder="1"/>
    <xf numFmtId="0" fontId="0" fillId="12" borderId="13" xfId="0" applyFill="1" applyBorder="1"/>
    <xf numFmtId="0" fontId="0" fillId="12" borderId="6" xfId="0" applyFill="1" applyBorder="1"/>
    <xf numFmtId="0" fontId="0" fillId="12" borderId="24" xfId="0" applyFill="1" applyBorder="1"/>
    <xf numFmtId="4" fontId="0" fillId="2" borderId="1" xfId="0" applyNumberFormat="1" applyFill="1" applyBorder="1"/>
    <xf numFmtId="4" fontId="1" fillId="2" borderId="34" xfId="0" applyNumberFormat="1" applyFont="1" applyFill="1" applyBorder="1"/>
    <xf numFmtId="4" fontId="0" fillId="2" borderId="34" xfId="0" applyNumberFormat="1" applyFill="1" applyBorder="1"/>
    <xf numFmtId="0" fontId="0" fillId="13" borderId="1" xfId="0" applyFill="1" applyBorder="1"/>
    <xf numFmtId="0" fontId="0" fillId="13" borderId="6" xfId="0" applyFill="1" applyBorder="1"/>
    <xf numFmtId="0" fontId="0" fillId="13" borderId="36" xfId="0" applyFill="1" applyBorder="1"/>
    <xf numFmtId="4" fontId="0" fillId="0" borderId="0" xfId="0" applyNumberFormat="1"/>
    <xf numFmtId="4" fontId="0" fillId="14" borderId="1" xfId="0" applyNumberFormat="1" applyFill="1" applyBorder="1"/>
    <xf numFmtId="0" fontId="0" fillId="14" borderId="1" xfId="0" applyFill="1" applyBorder="1"/>
    <xf numFmtId="0" fontId="0" fillId="14" borderId="1" xfId="0" applyFill="1" applyBorder="1" applyAlignment="1">
      <alignment horizontal="center" vertical="center"/>
    </xf>
    <xf numFmtId="0" fontId="0" fillId="14" borderId="22" xfId="0" applyFill="1" applyBorder="1"/>
    <xf numFmtId="0" fontId="0" fillId="14" borderId="12" xfId="0" applyFill="1" applyBorder="1"/>
    <xf numFmtId="0" fontId="0" fillId="14" borderId="10" xfId="0" applyFill="1" applyBorder="1"/>
    <xf numFmtId="0" fontId="0" fillId="3" borderId="12" xfId="0" applyFill="1" applyBorder="1"/>
    <xf numFmtId="0" fontId="0" fillId="3" borderId="1" xfId="0" applyFill="1" applyBorder="1"/>
    <xf numFmtId="0" fontId="0" fillId="3" borderId="20" xfId="0" applyFill="1" applyBorder="1"/>
    <xf numFmtId="0" fontId="0" fillId="15" borderId="0" xfId="0" applyFill="1"/>
    <xf numFmtId="4" fontId="0" fillId="3" borderId="1" xfId="0" applyNumberFormat="1" applyFill="1" applyBorder="1"/>
    <xf numFmtId="4" fontId="0" fillId="16" borderId="1" xfId="0" applyNumberFormat="1" applyFill="1" applyBorder="1"/>
    <xf numFmtId="0" fontId="0" fillId="3" borderId="13" xfId="0" applyFill="1" applyBorder="1"/>
    <xf numFmtId="0" fontId="0" fillId="14" borderId="12" xfId="0" applyFill="1" applyBorder="1" applyAlignment="1">
      <alignment horizontal="center" vertical="center"/>
    </xf>
    <xf numFmtId="0" fontId="0" fillId="14" borderId="15" xfId="0" applyFill="1" applyBorder="1"/>
    <xf numFmtId="10" fontId="0" fillId="5" borderId="13" xfId="0" applyNumberFormat="1" applyFill="1" applyBorder="1"/>
    <xf numFmtId="10" fontId="0" fillId="5" borderId="8" xfId="0" applyNumberFormat="1" applyFill="1" applyBorder="1"/>
    <xf numFmtId="0" fontId="0" fillId="2" borderId="20" xfId="0" applyFill="1" applyBorder="1"/>
    <xf numFmtId="10" fontId="0" fillId="5" borderId="1" xfId="0" applyNumberFormat="1" applyFill="1" applyBorder="1"/>
    <xf numFmtId="0" fontId="0" fillId="2" borderId="46" xfId="0" applyFill="1" applyBorder="1"/>
    <xf numFmtId="0" fontId="0" fillId="2" borderId="47" xfId="0" applyFill="1" applyBorder="1"/>
    <xf numFmtId="4" fontId="0" fillId="3" borderId="36" xfId="0" applyNumberFormat="1" applyFill="1" applyBorder="1"/>
    <xf numFmtId="4" fontId="0" fillId="3" borderId="20" xfId="0" applyNumberFormat="1" applyFill="1" applyBorder="1"/>
    <xf numFmtId="9" fontId="0" fillId="14" borderId="1" xfId="0" applyNumberFormat="1" applyFill="1" applyBorder="1"/>
    <xf numFmtId="4" fontId="0" fillId="17" borderId="1" xfId="0" applyNumberFormat="1" applyFill="1" applyBorder="1"/>
    <xf numFmtId="4" fontId="0" fillId="14" borderId="1" xfId="0" applyNumberFormat="1" applyFill="1" applyBorder="1" applyAlignment="1">
      <alignment vertical="center" wrapText="1"/>
    </xf>
    <xf numFmtId="0" fontId="0" fillId="12" borderId="1" xfId="0" applyFill="1" applyBorder="1"/>
    <xf numFmtId="0" fontId="0" fillId="14" borderId="20" xfId="0" applyFill="1" applyBorder="1" applyAlignment="1">
      <alignment horizontal="center" vertical="center"/>
    </xf>
    <xf numFmtId="0" fontId="4" fillId="7" borderId="0" xfId="0" applyFont="1" applyFill="1" applyAlignment="1">
      <alignment horizontal="center"/>
    </xf>
    <xf numFmtId="0" fontId="0" fillId="0" borderId="20" xfId="0" applyBorder="1" applyAlignment="1">
      <alignment wrapText="1"/>
    </xf>
    <xf numFmtId="0" fontId="0" fillId="2" borderId="34" xfId="0" applyFill="1" applyBorder="1" applyAlignment="1">
      <alignment wrapText="1"/>
    </xf>
    <xf numFmtId="0" fontId="0" fillId="12" borderId="9" xfId="0" applyFill="1" applyBorder="1"/>
    <xf numFmtId="4" fontId="0" fillId="2" borderId="1" xfId="0" applyNumberFormat="1" applyFill="1" applyBorder="1" applyAlignment="1">
      <alignment vertical="center" wrapText="1"/>
    </xf>
    <xf numFmtId="4" fontId="0" fillId="3" borderId="1" xfId="0" applyNumberFormat="1" applyFill="1" applyBorder="1" applyAlignment="1">
      <alignment vertical="center" wrapText="1"/>
    </xf>
    <xf numFmtId="3" fontId="0" fillId="3" borderId="1" xfId="0" applyNumberFormat="1" applyFill="1" applyBorder="1"/>
    <xf numFmtId="3" fontId="0" fillId="2" borderId="1" xfId="0" applyNumberFormat="1" applyFill="1" applyBorder="1"/>
    <xf numFmtId="0" fontId="1" fillId="0" borderId="1" xfId="0" applyFont="1" applyBorder="1" applyAlignment="1">
      <alignment wrapText="1"/>
    </xf>
    <xf numFmtId="4" fontId="0" fillId="16" borderId="42" xfId="0" applyNumberFormat="1" applyFill="1" applyBorder="1"/>
    <xf numFmtId="3" fontId="0" fillId="14" borderId="1" xfId="0" applyNumberFormat="1" applyFill="1" applyBorder="1"/>
    <xf numFmtId="4" fontId="0" fillId="9" borderId="1" xfId="0" applyNumberFormat="1" applyFill="1" applyBorder="1"/>
    <xf numFmtId="0" fontId="8" fillId="3" borderId="49" xfId="0" applyFont="1" applyFill="1" applyBorder="1" applyAlignment="1">
      <alignment vertical="center"/>
    </xf>
    <xf numFmtId="0" fontId="7" fillId="14" borderId="50" xfId="0" applyFont="1" applyFill="1" applyBorder="1"/>
    <xf numFmtId="0" fontId="7" fillId="10" borderId="51" xfId="0" applyFont="1" applyFill="1" applyBorder="1"/>
    <xf numFmtId="0" fontId="13" fillId="12" borderId="51" xfId="0" applyFont="1" applyFill="1" applyBorder="1"/>
    <xf numFmtId="0" fontId="7" fillId="5" borderId="51" xfId="0" applyFont="1" applyFill="1" applyBorder="1"/>
    <xf numFmtId="0" fontId="9" fillId="2" borderId="52" xfId="1" applyFont="1" applyFill="1" applyBorder="1" applyAlignment="1">
      <alignment horizontal="left" vertical="center"/>
    </xf>
    <xf numFmtId="165" fontId="7" fillId="18" borderId="5" xfId="0" applyNumberFormat="1" applyFont="1" applyFill="1" applyBorder="1" applyAlignment="1">
      <alignment horizontal="center"/>
    </xf>
    <xf numFmtId="0" fontId="0" fillId="19" borderId="18" xfId="0" applyFill="1" applyBorder="1"/>
    <xf numFmtId="0" fontId="0" fillId="19" borderId="19" xfId="0" applyFill="1" applyBorder="1"/>
    <xf numFmtId="0" fontId="0" fillId="19" borderId="25" xfId="0" applyFill="1" applyBorder="1"/>
    <xf numFmtId="0" fontId="0" fillId="19" borderId="32" xfId="0" applyFill="1" applyBorder="1"/>
    <xf numFmtId="0" fontId="0" fillId="19" borderId="0" xfId="0" applyFill="1"/>
    <xf numFmtId="0" fontId="0" fillId="19" borderId="33" xfId="0" applyFill="1" applyBorder="1"/>
    <xf numFmtId="0" fontId="0" fillId="20" borderId="18" xfId="0" applyFill="1" applyBorder="1"/>
    <xf numFmtId="0" fontId="0" fillId="20" borderId="19" xfId="0" applyFill="1" applyBorder="1"/>
    <xf numFmtId="0" fontId="0" fillId="20" borderId="25" xfId="0" applyFill="1" applyBorder="1"/>
    <xf numFmtId="0" fontId="0" fillId="20" borderId="32" xfId="0" applyFill="1" applyBorder="1"/>
    <xf numFmtId="0" fontId="0" fillId="20" borderId="0" xfId="0" applyFill="1"/>
    <xf numFmtId="0" fontId="0" fillId="20" borderId="33" xfId="0" applyFill="1" applyBorder="1"/>
    <xf numFmtId="0" fontId="0" fillId="0" borderId="51" xfId="0" applyBorder="1" applyAlignment="1">
      <alignment vertical="center" wrapText="1"/>
    </xf>
    <xf numFmtId="0" fontId="0" fillId="0" borderId="50" xfId="0" applyBorder="1" applyAlignment="1">
      <alignment vertical="center" wrapText="1"/>
    </xf>
    <xf numFmtId="0" fontId="0" fillId="2" borderId="53" xfId="0" applyFill="1" applyBorder="1" applyAlignment="1">
      <alignment vertical="center" wrapText="1"/>
    </xf>
    <xf numFmtId="0" fontId="0" fillId="8" borderId="54" xfId="0" applyFill="1" applyBorder="1" applyAlignment="1">
      <alignment horizontal="center" vertical="center"/>
    </xf>
    <xf numFmtId="0" fontId="0" fillId="0" borderId="58" xfId="0" applyBorder="1" applyAlignment="1">
      <alignment vertical="center" wrapText="1"/>
    </xf>
    <xf numFmtId="0" fontId="0" fillId="0" borderId="59" xfId="0" applyBorder="1" applyAlignment="1">
      <alignment vertical="center" wrapText="1"/>
    </xf>
    <xf numFmtId="0" fontId="0" fillId="2" borderId="60" xfId="0" applyFill="1" applyBorder="1" applyAlignment="1">
      <alignment vertical="center" wrapText="1"/>
    </xf>
    <xf numFmtId="4" fontId="0" fillId="3" borderId="10" xfId="0" applyNumberFormat="1" applyFill="1" applyBorder="1"/>
    <xf numFmtId="0" fontId="0" fillId="8" borderId="61" xfId="0" applyFill="1" applyBorder="1" applyAlignment="1">
      <alignment horizontal="center" vertical="center"/>
    </xf>
    <xf numFmtId="0" fontId="7" fillId="4" borderId="30"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9"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0" fontId="11" fillId="4" borderId="0" xfId="0" applyFont="1" applyFill="1" applyAlignment="1">
      <alignment horizontal="left" vertical="top" wrapText="1"/>
    </xf>
    <xf numFmtId="0" fontId="7" fillId="4" borderId="7" xfId="0" quotePrefix="1"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8" xfId="0" applyFont="1" applyFill="1" applyBorder="1" applyAlignment="1">
      <alignment horizontal="left" vertical="top" wrapText="1"/>
    </xf>
    <xf numFmtId="0" fontId="10" fillId="7" borderId="43" xfId="6" applyFont="1" applyFill="1" applyBorder="1" applyAlignment="1">
      <alignment horizontal="left" vertical="center"/>
    </xf>
    <xf numFmtId="0" fontId="10" fillId="7" borderId="44" xfId="6" applyFont="1" applyFill="1"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14" borderId="1" xfId="0" applyFill="1" applyBorder="1" applyAlignment="1">
      <alignment horizontal="center" vertical="center"/>
    </xf>
    <xf numFmtId="0" fontId="1" fillId="19" borderId="31" xfId="0" applyFont="1" applyFill="1" applyBorder="1" applyAlignment="1">
      <alignment horizontal="center" vertical="center" wrapText="1"/>
    </xf>
    <xf numFmtId="0" fontId="1" fillId="19" borderId="16"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1" fillId="20" borderId="31" xfId="0" applyFont="1" applyFill="1" applyBorder="1" applyAlignment="1">
      <alignment horizontal="center" vertical="center" wrapText="1"/>
    </xf>
    <xf numFmtId="0" fontId="1" fillId="20" borderId="16" xfId="0" applyFont="1" applyFill="1" applyBorder="1" applyAlignment="1">
      <alignment horizontal="center" vertical="center" wrapText="1"/>
    </xf>
    <xf numFmtId="0" fontId="1" fillId="20" borderId="17" xfId="0" applyFont="1" applyFill="1" applyBorder="1" applyAlignment="1">
      <alignment horizontal="center" vertical="center" wrapText="1"/>
    </xf>
    <xf numFmtId="0" fontId="0" fillId="14" borderId="55" xfId="0" applyFill="1" applyBorder="1" applyAlignment="1">
      <alignment vertical="center" wrapText="1"/>
    </xf>
    <xf numFmtId="0" fontId="0" fillId="14" borderId="56" xfId="0" applyFill="1" applyBorder="1" applyAlignment="1">
      <alignment vertical="center" wrapText="1"/>
    </xf>
    <xf numFmtId="0" fontId="0" fillId="14" borderId="57" xfId="0" applyFill="1" applyBorder="1" applyAlignment="1">
      <alignment vertical="center" wrapText="1"/>
    </xf>
    <xf numFmtId="0" fontId="0" fillId="14" borderId="48" xfId="0" applyFill="1" applyBorder="1" applyAlignment="1">
      <alignment vertical="center" wrapText="1"/>
    </xf>
    <xf numFmtId="0" fontId="0" fillId="14" borderId="10" xfId="0" applyFill="1" applyBorder="1" applyAlignment="1">
      <alignment vertical="center" wrapText="1"/>
    </xf>
    <xf numFmtId="0" fontId="10" fillId="7" borderId="2" xfId="1" applyFont="1" applyFill="1" applyBorder="1" applyAlignment="1">
      <alignment horizontal="center" vertical="center"/>
    </xf>
    <xf numFmtId="0" fontId="10" fillId="7" borderId="3" xfId="1" applyFont="1" applyFill="1" applyBorder="1" applyAlignment="1">
      <alignment horizontal="center" vertical="center"/>
    </xf>
    <xf numFmtId="0" fontId="0" fillId="14" borderId="12" xfId="0" applyFill="1" applyBorder="1" applyAlignment="1">
      <alignment horizontal="center" vertical="center"/>
    </xf>
    <xf numFmtId="0" fontId="0" fillId="14" borderId="15" xfId="0" applyFill="1" applyBorder="1" applyAlignment="1">
      <alignment horizontal="center" vertical="center"/>
    </xf>
    <xf numFmtId="0" fontId="0" fillId="14" borderId="40" xfId="0" applyFill="1" applyBorder="1" applyAlignment="1">
      <alignment horizontal="center" vertical="center"/>
    </xf>
    <xf numFmtId="0" fontId="0" fillId="14" borderId="35" xfId="0" applyFill="1" applyBorder="1" applyAlignment="1">
      <alignment horizontal="center" vertical="center"/>
    </xf>
    <xf numFmtId="0" fontId="0" fillId="14" borderId="36" xfId="0" applyFill="1" applyBorder="1" applyAlignment="1">
      <alignment horizontal="center" vertical="center"/>
    </xf>
    <xf numFmtId="0" fontId="0" fillId="14" borderId="20" xfId="0" applyFill="1" applyBorder="1" applyAlignment="1">
      <alignment horizontal="center" vertical="center"/>
    </xf>
    <xf numFmtId="0" fontId="0" fillId="14" borderId="48" xfId="0" applyFill="1" applyBorder="1" applyAlignment="1">
      <alignment horizontal="center" vertical="center"/>
    </xf>
  </cellXfs>
  <cellStyles count="7">
    <cellStyle name="Comma 2" xfId="5" xr:uid="{A4E6D8E2-B5B1-47BA-9E88-FDAD032E95CF}"/>
    <cellStyle name="Normal" xfId="0" builtinId="0"/>
    <cellStyle name="Normal 2" xfId="1" xr:uid="{56FC87F1-EB3E-47A2-A258-20919D95FE36}"/>
    <cellStyle name="Normal 3" xfId="6" xr:uid="{CF565B55-7337-4BC3-978C-B49D34B7A430}"/>
    <cellStyle name="千位分隔 2" xfId="3" xr:uid="{58F8C852-0753-447C-94CF-CA78329D1653}"/>
    <cellStyle name="常规 2" xfId="2" xr:uid="{6B066148-149D-4E47-8E83-6EB982CF0CF8}"/>
    <cellStyle name="百分比 2" xfId="4" xr:uid="{6879C7D1-BAF3-4A63-8356-D26AA103523E}"/>
  </cellStyles>
  <dxfs count="0"/>
  <tableStyles count="0" defaultTableStyle="TableStyleMedium2" defaultPivotStyle="PivotStyleLight16"/>
  <colors>
    <mruColors>
      <color rgb="FFFFE5E5"/>
      <color rgb="FFFFCCCC"/>
      <color rgb="FFFFCC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C8AF903A-B106-4B85-B8D7-7DF1A9D4AD90}">
    <Anchor>
      <Comment id="{EAE2B35C-900D-4F37-9691-3558AD35210F}"/>
    </Anchor>
    <History>
      <Event time="2026-05-04T12:06:03.96" id="{4796C46A-BC9A-4D7B-8308-0E882D4F250F}">
        <Attribution userId="S::mgonzalez@verra.org::343f5a4e-468b-4db6-ad07-08439455ce0b" userName="María Ana Gonzalez" userProvider="AD"/>
        <Anchor>
          <Comment id="{0DD90DE1-092F-4993-A1BE-5F228BA5F0EB}"/>
        </Anchor>
        <Create/>
      </Event>
      <Event time="2026-05-04T12:06:03.96" id="{64FB0CFE-E14E-47D5-A7C3-AEC38C9D9B38}">
        <Attribution userId="S::mgonzalez@verra.org::343f5a4e-468b-4db6-ad07-08439455ce0b" userName="María Ana Gonzalez" userProvider="AD"/>
        <Anchor>
          <Comment id="{0DD90DE1-092F-4993-A1BE-5F228BA5F0EB}"/>
        </Anchor>
        <Assign userId="S::pverma@verra.org::5e12a0af-d923-46a6-a43c-97a31b5ae374" userName="Pooja Verma" userProvider="AD"/>
      </Event>
      <Event time="2026-05-04T12:06:03.96" id="{1B73498F-7AE5-42C1-8395-C175501A6280}">
        <Attribution userId="S::mgonzalez@verra.org::343f5a4e-468b-4db6-ad07-08439455ce0b" userName="María Ana Gonzalez" userProvider="AD"/>
        <Anchor>
          <Comment id="{0DD90DE1-092F-4993-A1BE-5F228BA5F0EB}"/>
        </Anchor>
        <SetTitle title="@Pooja Verma J34 should not have units. Ms is a fraction on mass basis, but PP should use the same mass unit in both nominator and denominator, so it cancels ou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emf"/><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xdr:colOff>
      <xdr:row>2</xdr:row>
      <xdr:rowOff>57150</xdr:rowOff>
    </xdr:from>
    <xdr:to>
      <xdr:col>2</xdr:col>
      <xdr:colOff>247650</xdr:colOff>
      <xdr:row>6</xdr:row>
      <xdr:rowOff>152134</xdr:rowOff>
    </xdr:to>
    <xdr:pic>
      <xdr:nvPicPr>
        <xdr:cNvPr id="2" name="image4.png">
          <a:extLst>
            <a:ext uri="{FF2B5EF4-FFF2-40B4-BE49-F238E27FC236}">
              <a16:creationId xmlns:a16="http://schemas.microsoft.com/office/drawing/2014/main" id="{DE9C6E38-E8E1-4CBA-BD8D-E8BE66B5C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525" y="438150"/>
          <a:ext cx="2225675" cy="856984"/>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466726</xdr:colOff>
      <xdr:row>21</xdr:row>
      <xdr:rowOff>48159</xdr:rowOff>
    </xdr:from>
    <xdr:to>
      <xdr:col>12</xdr:col>
      <xdr:colOff>1943101</xdr:colOff>
      <xdr:row>26</xdr:row>
      <xdr:rowOff>149225</xdr:rowOff>
    </xdr:to>
    <xdr:pic>
      <xdr:nvPicPr>
        <xdr:cNvPr id="2" name="Picture 1">
          <a:extLst>
            <a:ext uri="{FF2B5EF4-FFF2-40B4-BE49-F238E27FC236}">
              <a16:creationId xmlns:a16="http://schemas.microsoft.com/office/drawing/2014/main" id="{1C83F77E-5327-6781-C7A8-8C6E5250CA2C}"/>
            </a:ext>
          </a:extLst>
        </xdr:cNvPr>
        <xdr:cNvPicPr>
          <a:picLocks noChangeAspect="1"/>
        </xdr:cNvPicPr>
      </xdr:nvPicPr>
      <xdr:blipFill rotWithShape="1">
        <a:blip xmlns:r="http://schemas.openxmlformats.org/officeDocument/2006/relationships" r:embed="rId1"/>
        <a:srcRect r="29840"/>
        <a:stretch>
          <a:fillRect/>
        </a:stretch>
      </xdr:blipFill>
      <xdr:spPr>
        <a:xfrm>
          <a:off x="11598276" y="4658259"/>
          <a:ext cx="4470400" cy="1047216"/>
        </a:xfrm>
        <a:prstGeom prst="rect">
          <a:avLst/>
        </a:prstGeom>
        <a:solidFill>
          <a:srgbClr val="FFC000"/>
        </a:solidFill>
      </xdr:spPr>
    </xdr:pic>
    <xdr:clientData/>
  </xdr:twoCellAnchor>
  <xdr:twoCellAnchor editAs="oneCell">
    <xdr:from>
      <xdr:col>13</xdr:col>
      <xdr:colOff>892175</xdr:colOff>
      <xdr:row>21</xdr:row>
      <xdr:rowOff>98425</xdr:rowOff>
    </xdr:from>
    <xdr:to>
      <xdr:col>16</xdr:col>
      <xdr:colOff>1216025</xdr:colOff>
      <xdr:row>26</xdr:row>
      <xdr:rowOff>79504</xdr:rowOff>
    </xdr:to>
    <xdr:pic>
      <xdr:nvPicPr>
        <xdr:cNvPr id="3" name="Picture 2">
          <a:extLst>
            <a:ext uri="{FF2B5EF4-FFF2-40B4-BE49-F238E27FC236}">
              <a16:creationId xmlns:a16="http://schemas.microsoft.com/office/drawing/2014/main" id="{6C7EFE26-9521-6905-9ABB-6428850833E6}"/>
            </a:ext>
          </a:extLst>
        </xdr:cNvPr>
        <xdr:cNvPicPr>
          <a:picLocks noChangeAspect="1"/>
        </xdr:cNvPicPr>
      </xdr:nvPicPr>
      <xdr:blipFill rotWithShape="1">
        <a:blip xmlns:r="http://schemas.openxmlformats.org/officeDocument/2006/relationships" r:embed="rId2"/>
        <a:srcRect r="14671"/>
        <a:stretch>
          <a:fillRect/>
        </a:stretch>
      </xdr:blipFill>
      <xdr:spPr>
        <a:xfrm>
          <a:off x="17503775" y="4708525"/>
          <a:ext cx="4464050" cy="933579"/>
        </a:xfrm>
        <a:prstGeom prst="rect">
          <a:avLst/>
        </a:prstGeom>
      </xdr:spPr>
    </xdr:pic>
    <xdr:clientData/>
  </xdr:twoCellAnchor>
  <xdr:twoCellAnchor editAs="oneCell">
    <xdr:from>
      <xdr:col>5</xdr:col>
      <xdr:colOff>15875</xdr:colOff>
      <xdr:row>40</xdr:row>
      <xdr:rowOff>19050</xdr:rowOff>
    </xdr:from>
    <xdr:to>
      <xdr:col>9</xdr:col>
      <xdr:colOff>1641475</xdr:colOff>
      <xdr:row>44</xdr:row>
      <xdr:rowOff>15875</xdr:rowOff>
    </xdr:to>
    <xdr:pic>
      <xdr:nvPicPr>
        <xdr:cNvPr id="4" name="Picture 3">
          <a:extLst>
            <a:ext uri="{FF2B5EF4-FFF2-40B4-BE49-F238E27FC236}">
              <a16:creationId xmlns:a16="http://schemas.microsoft.com/office/drawing/2014/main" id="{92538756-7AD1-2F77-2E64-FFDF065EAFF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9108"/>
        <a:stretch>
          <a:fillRect/>
        </a:stretch>
      </xdr:blipFill>
      <xdr:spPr bwMode="auto">
        <a:xfrm>
          <a:off x="5661025" y="10553700"/>
          <a:ext cx="6070600" cy="75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xdr:row>
      <xdr:rowOff>9525</xdr:rowOff>
    </xdr:from>
    <xdr:to>
      <xdr:col>3</xdr:col>
      <xdr:colOff>358775</xdr:colOff>
      <xdr:row>6</xdr:row>
      <xdr:rowOff>110859</xdr:rowOff>
    </xdr:to>
    <xdr:pic>
      <xdr:nvPicPr>
        <xdr:cNvPr id="5" name="image4.png">
          <a:extLst>
            <a:ext uri="{FF2B5EF4-FFF2-40B4-BE49-F238E27FC236}">
              <a16:creationId xmlns:a16="http://schemas.microsoft.com/office/drawing/2014/main" id="{96DC50F5-D06B-4E09-AE12-90D1C2E1A4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390525"/>
          <a:ext cx="2228850" cy="863334"/>
        </a:xfrm>
        <a:prstGeom prst="rect">
          <a:avLst/>
        </a:prstGeom>
        <a:ln/>
      </xdr:spPr>
    </xdr:pic>
    <xdr:clientData/>
  </xdr:twoCellAnchor>
  <xdr:twoCellAnchor editAs="oneCell">
    <xdr:from>
      <xdr:col>4</xdr:col>
      <xdr:colOff>1235075</xdr:colOff>
      <xdr:row>59</xdr:row>
      <xdr:rowOff>85725</xdr:rowOff>
    </xdr:from>
    <xdr:to>
      <xdr:col>6</xdr:col>
      <xdr:colOff>41275</xdr:colOff>
      <xdr:row>62</xdr:row>
      <xdr:rowOff>167741</xdr:rowOff>
    </xdr:to>
    <xdr:pic>
      <xdr:nvPicPr>
        <xdr:cNvPr id="6" name="Picture 5">
          <a:extLst>
            <a:ext uri="{FF2B5EF4-FFF2-40B4-BE49-F238E27FC236}">
              <a16:creationId xmlns:a16="http://schemas.microsoft.com/office/drawing/2014/main" id="{B031B2A7-2DA0-4E6E-A1E7-8490ABE26B03}"/>
            </a:ext>
          </a:extLst>
        </xdr:cNvPr>
        <xdr:cNvPicPr>
          <a:picLocks noChangeAspect="1"/>
        </xdr:cNvPicPr>
      </xdr:nvPicPr>
      <xdr:blipFill rotWithShape="1">
        <a:blip xmlns:r="http://schemas.openxmlformats.org/officeDocument/2006/relationships" r:embed="rId1"/>
        <a:srcRect l="20767" t="37101" r="56075"/>
        <a:stretch>
          <a:fillRect/>
        </a:stretch>
      </xdr:blipFill>
      <xdr:spPr>
        <a:xfrm>
          <a:off x="5661025" y="16043275"/>
          <a:ext cx="1517650" cy="650341"/>
        </a:xfrm>
        <a:prstGeom prst="rect">
          <a:avLst/>
        </a:prstGeom>
      </xdr:spPr>
    </xdr:pic>
    <xdr:clientData/>
  </xdr:twoCellAnchor>
  <xdr:twoCellAnchor editAs="oneCell">
    <xdr:from>
      <xdr:col>9</xdr:col>
      <xdr:colOff>539750</xdr:colOff>
      <xdr:row>28</xdr:row>
      <xdr:rowOff>13710</xdr:rowOff>
    </xdr:from>
    <xdr:to>
      <xdr:col>9</xdr:col>
      <xdr:colOff>1558925</xdr:colOff>
      <xdr:row>29</xdr:row>
      <xdr:rowOff>15340</xdr:rowOff>
    </xdr:to>
    <xdr:pic>
      <xdr:nvPicPr>
        <xdr:cNvPr id="7" name="Picture 6">
          <a:extLst>
            <a:ext uri="{FF2B5EF4-FFF2-40B4-BE49-F238E27FC236}">
              <a16:creationId xmlns:a16="http://schemas.microsoft.com/office/drawing/2014/main" id="{59E188F5-34AF-4E5D-B6B0-06A42F32EC23}"/>
            </a:ext>
          </a:extLst>
        </xdr:cNvPr>
        <xdr:cNvPicPr>
          <a:picLocks noChangeAspect="1"/>
        </xdr:cNvPicPr>
      </xdr:nvPicPr>
      <xdr:blipFill rotWithShape="1">
        <a:blip xmlns:r="http://schemas.openxmlformats.org/officeDocument/2006/relationships" r:embed="rId1"/>
        <a:srcRect l="20767" t="37101" r="56075"/>
        <a:stretch>
          <a:fillRect/>
        </a:stretch>
      </xdr:blipFill>
      <xdr:spPr>
        <a:xfrm>
          <a:off x="11144250" y="5900160"/>
          <a:ext cx="1016000" cy="430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1357520</xdr:colOff>
      <xdr:row>17</xdr:row>
      <xdr:rowOff>23813</xdr:rowOff>
    </xdr:from>
    <xdr:to>
      <xdr:col>10</xdr:col>
      <xdr:colOff>453628</xdr:colOff>
      <xdr:row>27</xdr:row>
      <xdr:rowOff>57150</xdr:rowOff>
    </xdr:to>
    <xdr:pic>
      <xdr:nvPicPr>
        <xdr:cNvPr id="4" name="Picture 3">
          <a:extLst>
            <a:ext uri="{FF2B5EF4-FFF2-40B4-BE49-F238E27FC236}">
              <a16:creationId xmlns:a16="http://schemas.microsoft.com/office/drawing/2014/main" id="{69340FCD-C14F-4B80-A54B-0B2991551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2770" y="3294063"/>
          <a:ext cx="8406796" cy="19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1235075</xdr:colOff>
      <xdr:row>44</xdr:row>
      <xdr:rowOff>85725</xdr:rowOff>
    </xdr:from>
    <xdr:to>
      <xdr:col>3</xdr:col>
      <xdr:colOff>1177131</xdr:colOff>
      <xdr:row>47</xdr:row>
      <xdr:rowOff>167741</xdr:rowOff>
    </xdr:to>
    <xdr:pic>
      <xdr:nvPicPr>
        <xdr:cNvPr id="6" name="Picture 5">
          <a:extLst>
            <a:ext uri="{FF2B5EF4-FFF2-40B4-BE49-F238E27FC236}">
              <a16:creationId xmlns:a16="http://schemas.microsoft.com/office/drawing/2014/main" id="{5A98A479-9B64-4948-B237-5ABC1A4D83F9}"/>
            </a:ext>
          </a:extLst>
        </xdr:cNvPr>
        <xdr:cNvPicPr>
          <a:picLocks noChangeAspect="1"/>
        </xdr:cNvPicPr>
      </xdr:nvPicPr>
      <xdr:blipFill rotWithShape="1">
        <a:blip xmlns:r="http://schemas.openxmlformats.org/officeDocument/2006/relationships" r:embed="rId2"/>
        <a:srcRect l="20767" t="37101" r="56075"/>
        <a:stretch>
          <a:fillRect/>
        </a:stretch>
      </xdr:blipFill>
      <xdr:spPr>
        <a:xfrm>
          <a:off x="5661025" y="16046450"/>
          <a:ext cx="1517650" cy="650341"/>
        </a:xfrm>
        <a:prstGeom prst="rect">
          <a:avLst/>
        </a:prstGeom>
      </xdr:spPr>
    </xdr:pic>
    <xdr:clientData/>
  </xdr:twoCellAnchor>
  <xdr:twoCellAnchor editAs="oneCell">
    <xdr:from>
      <xdr:col>1</xdr:col>
      <xdr:colOff>867833</xdr:colOff>
      <xdr:row>65</xdr:row>
      <xdr:rowOff>77611</xdr:rowOff>
    </xdr:from>
    <xdr:to>
      <xdr:col>5</xdr:col>
      <xdr:colOff>549139</xdr:colOff>
      <xdr:row>68</xdr:row>
      <xdr:rowOff>117123</xdr:rowOff>
    </xdr:to>
    <xdr:pic>
      <xdr:nvPicPr>
        <xdr:cNvPr id="7" name="Picture 6">
          <a:extLst>
            <a:ext uri="{FF2B5EF4-FFF2-40B4-BE49-F238E27FC236}">
              <a16:creationId xmlns:a16="http://schemas.microsoft.com/office/drawing/2014/main" id="{B19686EA-01B8-4552-9D30-29C23EEA491E}"/>
            </a:ext>
          </a:extLst>
        </xdr:cNvPr>
        <xdr:cNvPicPr>
          <a:picLocks noChangeAspect="1"/>
        </xdr:cNvPicPr>
      </xdr:nvPicPr>
      <xdr:blipFill>
        <a:blip xmlns:r="http://schemas.openxmlformats.org/officeDocument/2006/relationships" r:embed="rId3"/>
        <a:stretch>
          <a:fillRect/>
        </a:stretch>
      </xdr:blipFill>
      <xdr:spPr>
        <a:xfrm>
          <a:off x="5898444" y="26049111"/>
          <a:ext cx="5577017" cy="611012"/>
        </a:xfrm>
        <a:prstGeom prst="rect">
          <a:avLst/>
        </a:prstGeom>
      </xdr:spPr>
    </xdr:pic>
    <xdr:clientData/>
  </xdr:twoCellAnchor>
  <xdr:twoCellAnchor editAs="oneCell">
    <xdr:from>
      <xdr:col>0</xdr:col>
      <xdr:colOff>142875</xdr:colOff>
      <xdr:row>0</xdr:row>
      <xdr:rowOff>63501</xdr:rowOff>
    </xdr:from>
    <xdr:to>
      <xdr:col>1</xdr:col>
      <xdr:colOff>1654175</xdr:colOff>
      <xdr:row>5</xdr:row>
      <xdr:rowOff>53710</xdr:rowOff>
    </xdr:to>
    <xdr:pic>
      <xdr:nvPicPr>
        <xdr:cNvPr id="8" name="image4.png">
          <a:extLst>
            <a:ext uri="{FF2B5EF4-FFF2-40B4-BE49-F238E27FC236}">
              <a16:creationId xmlns:a16="http://schemas.microsoft.com/office/drawing/2014/main" id="{2E5E4E91-0E78-40EE-9CFF-E92E35D6E3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875" y="63501"/>
          <a:ext cx="2225675" cy="939534"/>
        </a:xfrm>
        <a:prstGeom prst="rect">
          <a:avLst/>
        </a:prstGeom>
        <a:ln/>
      </xdr:spPr>
    </xdr:pic>
    <xdr:clientData/>
  </xdr:twoCellAnchor>
  <xdr:twoCellAnchor editAs="oneCell">
    <xdr:from>
      <xdr:col>12</xdr:col>
      <xdr:colOff>483393</xdr:colOff>
      <xdr:row>28</xdr:row>
      <xdr:rowOff>28791</xdr:rowOff>
    </xdr:from>
    <xdr:to>
      <xdr:col>12</xdr:col>
      <xdr:colOff>1369218</xdr:colOff>
      <xdr:row>28</xdr:row>
      <xdr:rowOff>401617</xdr:rowOff>
    </xdr:to>
    <xdr:pic>
      <xdr:nvPicPr>
        <xdr:cNvPr id="3" name="Picture 1">
          <a:extLst>
            <a:ext uri="{FF2B5EF4-FFF2-40B4-BE49-F238E27FC236}">
              <a16:creationId xmlns:a16="http://schemas.microsoft.com/office/drawing/2014/main" id="{1295F896-9545-4FE5-9A02-B32C11134C5F}"/>
            </a:ext>
          </a:extLst>
        </xdr:cNvPr>
        <xdr:cNvPicPr>
          <a:picLocks noChangeAspect="1"/>
        </xdr:cNvPicPr>
      </xdr:nvPicPr>
      <xdr:blipFill rotWithShape="1">
        <a:blip xmlns:r="http://schemas.openxmlformats.org/officeDocument/2006/relationships" r:embed="rId2"/>
        <a:srcRect l="20767" t="37101" r="56075"/>
        <a:stretch>
          <a:fillRect/>
        </a:stretch>
      </xdr:blipFill>
      <xdr:spPr>
        <a:xfrm>
          <a:off x="14532768" y="5065135"/>
          <a:ext cx="873125" cy="369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123119</xdr:colOff>
      <xdr:row>0</xdr:row>
      <xdr:rowOff>30505</xdr:rowOff>
    </xdr:from>
    <xdr:to>
      <xdr:col>3</xdr:col>
      <xdr:colOff>461786</xdr:colOff>
      <xdr:row>3</xdr:row>
      <xdr:rowOff>186001</xdr:rowOff>
    </xdr:to>
    <xdr:pic>
      <xdr:nvPicPr>
        <xdr:cNvPr id="3" name="image4.png">
          <a:extLst>
            <a:ext uri="{FF2B5EF4-FFF2-40B4-BE49-F238E27FC236}">
              <a16:creationId xmlns:a16="http://schemas.microsoft.com/office/drawing/2014/main" id="{B9066C0A-0A79-49EC-90FC-31DB166DE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897" y="30505"/>
          <a:ext cx="1869722" cy="723821"/>
        </a:xfrm>
        <a:prstGeom prst="rect">
          <a:avLst/>
        </a:prstGeom>
        <a:ln/>
      </xdr:spPr>
    </xdr:pic>
    <xdr:clientData/>
  </xdr:twoCellAnchor>
  <xdr:twoCellAnchor editAs="oneCell">
    <xdr:from>
      <xdr:col>5</xdr:col>
      <xdr:colOff>97046</xdr:colOff>
      <xdr:row>6</xdr:row>
      <xdr:rowOff>91722</xdr:rowOff>
    </xdr:from>
    <xdr:to>
      <xdr:col>10</xdr:col>
      <xdr:colOff>973341</xdr:colOff>
      <xdr:row>18</xdr:row>
      <xdr:rowOff>115711</xdr:rowOff>
    </xdr:to>
    <xdr:pic>
      <xdr:nvPicPr>
        <xdr:cNvPr id="2" name="Picture 3">
          <a:extLst>
            <a:ext uri="{FF2B5EF4-FFF2-40B4-BE49-F238E27FC236}">
              <a16:creationId xmlns:a16="http://schemas.microsoft.com/office/drawing/2014/main" id="{DC4EED57-2CA5-3462-8731-A5B1DF670C8E}"/>
            </a:ext>
          </a:extLst>
        </xdr:cNvPr>
        <xdr:cNvPicPr>
          <a:picLocks noChangeAspect="1"/>
        </xdr:cNvPicPr>
      </xdr:nvPicPr>
      <xdr:blipFill>
        <a:blip xmlns:r="http://schemas.openxmlformats.org/officeDocument/2006/relationships" r:embed="rId2"/>
        <a:stretch>
          <a:fillRect/>
        </a:stretch>
      </xdr:blipFill>
      <xdr:spPr>
        <a:xfrm>
          <a:off x="6009602" y="1234722"/>
          <a:ext cx="6429370" cy="23353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24</xdr:row>
      <xdr:rowOff>127521</xdr:rowOff>
    </xdr:from>
    <xdr:to>
      <xdr:col>5</xdr:col>
      <xdr:colOff>1295596</xdr:colOff>
      <xdr:row>27</xdr:row>
      <xdr:rowOff>130331</xdr:rowOff>
    </xdr:to>
    <xdr:pic>
      <xdr:nvPicPr>
        <xdr:cNvPr id="3" name="Picture 2">
          <a:extLst>
            <a:ext uri="{FF2B5EF4-FFF2-40B4-BE49-F238E27FC236}">
              <a16:creationId xmlns:a16="http://schemas.microsoft.com/office/drawing/2014/main" id="{C00B3577-FA7E-FC2C-8B80-E0F8ED3188CA}"/>
            </a:ext>
          </a:extLst>
        </xdr:cNvPr>
        <xdr:cNvPicPr>
          <a:picLocks noChangeAspect="1"/>
        </xdr:cNvPicPr>
      </xdr:nvPicPr>
      <xdr:blipFill>
        <a:blip xmlns:r="http://schemas.openxmlformats.org/officeDocument/2006/relationships" r:embed="rId1"/>
        <a:stretch>
          <a:fillRect/>
        </a:stretch>
      </xdr:blipFill>
      <xdr:spPr>
        <a:xfrm>
          <a:off x="1000125" y="3391421"/>
          <a:ext cx="6691509" cy="574310"/>
        </a:xfrm>
        <a:prstGeom prst="rect">
          <a:avLst/>
        </a:prstGeom>
      </xdr:spPr>
    </xdr:pic>
    <xdr:clientData/>
  </xdr:twoCellAnchor>
  <xdr:twoCellAnchor editAs="oneCell">
    <xdr:from>
      <xdr:col>2</xdr:col>
      <xdr:colOff>38099</xdr:colOff>
      <xdr:row>64</xdr:row>
      <xdr:rowOff>105825</xdr:rowOff>
    </xdr:from>
    <xdr:to>
      <xdr:col>6</xdr:col>
      <xdr:colOff>168274</xdr:colOff>
      <xdr:row>67</xdr:row>
      <xdr:rowOff>73024</xdr:rowOff>
    </xdr:to>
    <xdr:pic>
      <xdr:nvPicPr>
        <xdr:cNvPr id="4" name="Picture 3">
          <a:extLst>
            <a:ext uri="{FF2B5EF4-FFF2-40B4-BE49-F238E27FC236}">
              <a16:creationId xmlns:a16="http://schemas.microsoft.com/office/drawing/2014/main" id="{AF784A0E-2137-6068-8612-5B3B12D6B31A}"/>
            </a:ext>
          </a:extLst>
        </xdr:cNvPr>
        <xdr:cNvPicPr>
          <a:picLocks noChangeAspect="1"/>
        </xdr:cNvPicPr>
      </xdr:nvPicPr>
      <xdr:blipFill>
        <a:blip xmlns:r="http://schemas.openxmlformats.org/officeDocument/2006/relationships" r:embed="rId2"/>
        <a:stretch>
          <a:fillRect/>
        </a:stretch>
      </xdr:blipFill>
      <xdr:spPr>
        <a:xfrm>
          <a:off x="1257299" y="16488825"/>
          <a:ext cx="6686550" cy="538699"/>
        </a:xfrm>
        <a:prstGeom prst="rect">
          <a:avLst/>
        </a:prstGeom>
      </xdr:spPr>
    </xdr:pic>
    <xdr:clientData/>
  </xdr:twoCellAnchor>
  <xdr:twoCellAnchor editAs="oneCell">
    <xdr:from>
      <xdr:col>0</xdr:col>
      <xdr:colOff>355600</xdr:colOff>
      <xdr:row>0</xdr:row>
      <xdr:rowOff>0</xdr:rowOff>
    </xdr:from>
    <xdr:to>
      <xdr:col>2</xdr:col>
      <xdr:colOff>1006122</xdr:colOff>
      <xdr:row>3</xdr:row>
      <xdr:rowOff>152321</xdr:rowOff>
    </xdr:to>
    <xdr:pic>
      <xdr:nvPicPr>
        <xdr:cNvPr id="5" name="image4.png">
          <a:extLst>
            <a:ext uri="{FF2B5EF4-FFF2-40B4-BE49-F238E27FC236}">
              <a16:creationId xmlns:a16="http://schemas.microsoft.com/office/drawing/2014/main" id="{E50260B9-D2CA-4DA6-ADA4-B24BA49D21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5600" y="0"/>
          <a:ext cx="1869722" cy="723821"/>
        </a:xfrm>
        <a:prstGeom prst="rect">
          <a:avLst/>
        </a:prstGeom>
        <a:ln/>
      </xdr:spPr>
    </xdr:pic>
    <xdr:clientData/>
  </xdr:twoCellAnchor>
  <xdr:twoCellAnchor editAs="oneCell">
    <xdr:from>
      <xdr:col>2</xdr:col>
      <xdr:colOff>657225</xdr:colOff>
      <xdr:row>39</xdr:row>
      <xdr:rowOff>142875</xdr:rowOff>
    </xdr:from>
    <xdr:to>
      <xdr:col>6</xdr:col>
      <xdr:colOff>19050</xdr:colOff>
      <xdr:row>44</xdr:row>
      <xdr:rowOff>38100</xdr:rowOff>
    </xdr:to>
    <xdr:pic>
      <xdr:nvPicPr>
        <xdr:cNvPr id="6" name="Picture 5">
          <a:extLst>
            <a:ext uri="{FF2B5EF4-FFF2-40B4-BE49-F238E27FC236}">
              <a16:creationId xmlns:a16="http://schemas.microsoft.com/office/drawing/2014/main" id="{72461581-9FDC-4352-5F43-A2CD52CE73C0}"/>
            </a:ext>
            <a:ext uri="{147F2762-F138-4A5C-976F-8EAC2B608ADB}">
              <a16:predDERef xmlns:a16="http://schemas.microsoft.com/office/drawing/2014/main" pred="{E50260B9-D2CA-4DA6-ADA4-B24BA49D2150}"/>
            </a:ext>
          </a:extLst>
        </xdr:cNvPr>
        <xdr:cNvPicPr>
          <a:picLocks noChangeAspect="1"/>
        </xdr:cNvPicPr>
      </xdr:nvPicPr>
      <xdr:blipFill>
        <a:blip xmlns:r="http://schemas.openxmlformats.org/officeDocument/2006/relationships" r:embed="rId4"/>
        <a:stretch>
          <a:fillRect/>
        </a:stretch>
      </xdr:blipFill>
      <xdr:spPr>
        <a:xfrm>
          <a:off x="1876425" y="8162925"/>
          <a:ext cx="593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24</xdr:row>
      <xdr:rowOff>127521</xdr:rowOff>
    </xdr:from>
    <xdr:to>
      <xdr:col>5</xdr:col>
      <xdr:colOff>1233684</xdr:colOff>
      <xdr:row>27</xdr:row>
      <xdr:rowOff>130331</xdr:rowOff>
    </xdr:to>
    <xdr:pic>
      <xdr:nvPicPr>
        <xdr:cNvPr id="3" name="Picture 2">
          <a:extLst>
            <a:ext uri="{FF2B5EF4-FFF2-40B4-BE49-F238E27FC236}">
              <a16:creationId xmlns:a16="http://schemas.microsoft.com/office/drawing/2014/main" id="{561056DF-4FAA-4E5C-B57A-565374B59A5F}"/>
            </a:ext>
          </a:extLst>
        </xdr:cNvPr>
        <xdr:cNvPicPr>
          <a:picLocks noChangeAspect="1"/>
        </xdr:cNvPicPr>
      </xdr:nvPicPr>
      <xdr:blipFill>
        <a:blip xmlns:r="http://schemas.openxmlformats.org/officeDocument/2006/relationships" r:embed="rId1"/>
        <a:stretch>
          <a:fillRect/>
        </a:stretch>
      </xdr:blipFill>
      <xdr:spPr>
        <a:xfrm>
          <a:off x="1003300" y="4728096"/>
          <a:ext cx="6688334" cy="571135"/>
        </a:xfrm>
        <a:prstGeom prst="rect">
          <a:avLst/>
        </a:prstGeom>
      </xdr:spPr>
    </xdr:pic>
    <xdr:clientData/>
  </xdr:twoCellAnchor>
  <xdr:twoCellAnchor editAs="oneCell">
    <xdr:from>
      <xdr:col>2</xdr:col>
      <xdr:colOff>887412</xdr:colOff>
      <xdr:row>96</xdr:row>
      <xdr:rowOff>77250</xdr:rowOff>
    </xdr:from>
    <xdr:to>
      <xdr:col>6</xdr:col>
      <xdr:colOff>949324</xdr:colOff>
      <xdr:row>99</xdr:row>
      <xdr:rowOff>41274</xdr:rowOff>
    </xdr:to>
    <xdr:pic>
      <xdr:nvPicPr>
        <xdr:cNvPr id="4" name="Picture 3">
          <a:extLst>
            <a:ext uri="{FF2B5EF4-FFF2-40B4-BE49-F238E27FC236}">
              <a16:creationId xmlns:a16="http://schemas.microsoft.com/office/drawing/2014/main" id="{0CD705D0-B7DB-4718-A420-52DBFC4FCFF8}"/>
            </a:ext>
          </a:extLst>
        </xdr:cNvPr>
        <xdr:cNvPicPr>
          <a:picLocks noChangeAspect="1"/>
        </xdr:cNvPicPr>
      </xdr:nvPicPr>
      <xdr:blipFill>
        <a:blip xmlns:r="http://schemas.openxmlformats.org/officeDocument/2006/relationships" r:embed="rId2"/>
        <a:stretch>
          <a:fillRect/>
        </a:stretch>
      </xdr:blipFill>
      <xdr:spPr>
        <a:xfrm>
          <a:off x="2109787" y="22397500"/>
          <a:ext cx="6718300" cy="535524"/>
        </a:xfrm>
        <a:prstGeom prst="rect">
          <a:avLst/>
        </a:prstGeom>
      </xdr:spPr>
    </xdr:pic>
    <xdr:clientData/>
  </xdr:twoCellAnchor>
  <xdr:twoCellAnchor editAs="oneCell">
    <xdr:from>
      <xdr:col>0</xdr:col>
      <xdr:colOff>355600</xdr:colOff>
      <xdr:row>0</xdr:row>
      <xdr:rowOff>0</xdr:rowOff>
    </xdr:from>
    <xdr:to>
      <xdr:col>2</xdr:col>
      <xdr:colOff>1006122</xdr:colOff>
      <xdr:row>3</xdr:row>
      <xdr:rowOff>152321</xdr:rowOff>
    </xdr:to>
    <xdr:pic>
      <xdr:nvPicPr>
        <xdr:cNvPr id="5" name="image4.png">
          <a:extLst>
            <a:ext uri="{FF2B5EF4-FFF2-40B4-BE49-F238E27FC236}">
              <a16:creationId xmlns:a16="http://schemas.microsoft.com/office/drawing/2014/main" id="{D9FB3F72-5135-484B-AFC7-9EC9193BC2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775" y="0"/>
          <a:ext cx="1866547" cy="723821"/>
        </a:xfrm>
        <a:prstGeom prst="rect">
          <a:avLst/>
        </a:prstGeom>
        <a:ln/>
      </xdr:spPr>
    </xdr:pic>
    <xdr:clientData/>
  </xdr:twoCellAnchor>
  <xdr:twoCellAnchor editAs="oneCell">
    <xdr:from>
      <xdr:col>2</xdr:col>
      <xdr:colOff>74613</xdr:colOff>
      <xdr:row>39</xdr:row>
      <xdr:rowOff>14812</xdr:rowOff>
    </xdr:from>
    <xdr:to>
      <xdr:col>6</xdr:col>
      <xdr:colOff>1179512</xdr:colOff>
      <xdr:row>43</xdr:row>
      <xdr:rowOff>93661</xdr:rowOff>
    </xdr:to>
    <xdr:pic>
      <xdr:nvPicPr>
        <xdr:cNvPr id="6" name="Picture 5">
          <a:extLst>
            <a:ext uri="{FF2B5EF4-FFF2-40B4-BE49-F238E27FC236}">
              <a16:creationId xmlns:a16="http://schemas.microsoft.com/office/drawing/2014/main" id="{53D31D61-F15E-4229-8734-BC3C0A961A97}"/>
            </a:ext>
          </a:extLst>
        </xdr:cNvPr>
        <xdr:cNvPicPr>
          <a:picLocks noChangeAspect="1"/>
        </xdr:cNvPicPr>
      </xdr:nvPicPr>
      <xdr:blipFill>
        <a:blip xmlns:r="http://schemas.openxmlformats.org/officeDocument/2006/relationships" r:embed="rId4"/>
        <a:stretch>
          <a:fillRect/>
        </a:stretch>
      </xdr:blipFill>
      <xdr:spPr>
        <a:xfrm>
          <a:off x="1296988" y="8047562"/>
          <a:ext cx="7754937" cy="840849"/>
        </a:xfrm>
        <a:prstGeom prst="rect">
          <a:avLst/>
        </a:prstGeom>
      </xdr:spPr>
    </xdr:pic>
    <xdr:clientData/>
  </xdr:twoCellAnchor>
  <xdr:twoCellAnchor editAs="oneCell">
    <xdr:from>
      <xdr:col>2</xdr:col>
      <xdr:colOff>293688</xdr:colOff>
      <xdr:row>54</xdr:row>
      <xdr:rowOff>142875</xdr:rowOff>
    </xdr:from>
    <xdr:to>
      <xdr:col>6</xdr:col>
      <xdr:colOff>662657</xdr:colOff>
      <xdr:row>60</xdr:row>
      <xdr:rowOff>92972</xdr:rowOff>
    </xdr:to>
    <xdr:pic>
      <xdr:nvPicPr>
        <xdr:cNvPr id="7" name="Picture 6">
          <a:extLst>
            <a:ext uri="{FF2B5EF4-FFF2-40B4-BE49-F238E27FC236}">
              <a16:creationId xmlns:a16="http://schemas.microsoft.com/office/drawing/2014/main" id="{7510BC3D-FBEE-4E44-AE57-E79130A325D3}"/>
            </a:ext>
          </a:extLst>
        </xdr:cNvPr>
        <xdr:cNvPicPr>
          <a:picLocks noChangeAspect="1"/>
        </xdr:cNvPicPr>
      </xdr:nvPicPr>
      <xdr:blipFill>
        <a:blip xmlns:r="http://schemas.openxmlformats.org/officeDocument/2006/relationships" r:embed="rId5"/>
        <a:stretch>
          <a:fillRect/>
        </a:stretch>
      </xdr:blipFill>
      <xdr:spPr>
        <a:xfrm>
          <a:off x="1516063" y="12207875"/>
          <a:ext cx="7015832" cy="1083572"/>
        </a:xfrm>
        <a:prstGeom prst="rect">
          <a:avLst/>
        </a:prstGeom>
      </xdr:spPr>
    </xdr:pic>
    <xdr:clientData/>
  </xdr:twoCellAnchor>
  <xdr:twoCellAnchor editAs="oneCell">
    <xdr:from>
      <xdr:col>3</xdr:col>
      <xdr:colOff>523875</xdr:colOff>
      <xdr:row>73</xdr:row>
      <xdr:rowOff>158750</xdr:rowOff>
    </xdr:from>
    <xdr:to>
      <xdr:col>7</xdr:col>
      <xdr:colOff>873720</xdr:colOff>
      <xdr:row>77</xdr:row>
      <xdr:rowOff>187418</xdr:rowOff>
    </xdr:to>
    <xdr:pic>
      <xdr:nvPicPr>
        <xdr:cNvPr id="15" name="Picture 14">
          <a:extLst>
            <a:ext uri="{FF2B5EF4-FFF2-40B4-BE49-F238E27FC236}">
              <a16:creationId xmlns:a16="http://schemas.microsoft.com/office/drawing/2014/main" id="{37C66650-9989-4267-B054-BA74F6EA8C58}"/>
            </a:ext>
          </a:extLst>
        </xdr:cNvPr>
        <xdr:cNvPicPr>
          <a:picLocks noChangeAspect="1"/>
        </xdr:cNvPicPr>
      </xdr:nvPicPr>
      <xdr:blipFill>
        <a:blip xmlns:r="http://schemas.openxmlformats.org/officeDocument/2006/relationships" r:embed="rId6"/>
        <a:stretch>
          <a:fillRect/>
        </a:stretch>
      </xdr:blipFill>
      <xdr:spPr>
        <a:xfrm>
          <a:off x="3444875" y="19050000"/>
          <a:ext cx="6768108" cy="7906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25400</xdr:rowOff>
    </xdr:from>
    <xdr:to>
      <xdr:col>2</xdr:col>
      <xdr:colOff>383822</xdr:colOff>
      <xdr:row>3</xdr:row>
      <xdr:rowOff>187246</xdr:rowOff>
    </xdr:to>
    <xdr:pic>
      <xdr:nvPicPr>
        <xdr:cNvPr id="3" name="image4.png">
          <a:extLst>
            <a:ext uri="{FF2B5EF4-FFF2-40B4-BE49-F238E27FC236}">
              <a16:creationId xmlns:a16="http://schemas.microsoft.com/office/drawing/2014/main" id="{8B52FA85-A6E9-470C-A4CD-FC8351976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5400"/>
          <a:ext cx="1866547" cy="723821"/>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Pooja Verma" id="{187EF020-F83A-4F6E-8CA1-6594CE135913}" userId="pverma@verra.org" providerId="PeoplePicker"/>
  <person displayName="Maria Ana Gonzalez" id="{8F6C9A9F-525D-4B3D-AE6D-C369ED05276C}" userId="Maria Ana Gonzalez" providerId="None"/>
  <person displayName="Pooja Verma" id="{C3C1F4EC-F7E9-45DE-A6A5-F371CC2FD6F1}" userId="S::pverma@verra.org::5e12a0af-d923-46a6-a43c-97a31b5ae3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34" dT="2026-05-03T10:22:35.62" personId="{C3C1F4EC-F7E9-45DE-A6A5-F371CC2FD6F1}" id="{EAE2B35C-900D-4F37-9691-3558AD35210F}">
    <text>J34 should be multiplied post converting the mass of separated solids to tons.</text>
  </threadedComment>
  <threadedComment ref="M34" dT="2026-05-04T12:06:03.97" personId="{8F6C9A9F-525D-4B3D-AE6D-C369ED05276C}" id="{0DD90DE1-092F-4993-A1BE-5F228BA5F0EB}" parentId="{EAE2B35C-900D-4F37-9691-3558AD35210F}">
    <text>@Pooja Verma J34 should not have units. Ms is a fraction on mass basis, but PP should use the same mass unit in both nominator and denominator, so it cancels out.</text>
    <mentions>
      <mention mentionpersonId="{187EF020-F83A-4F6E-8CA1-6594CE135913}" mentionId="{AB66AADC-6880-42AF-B236-6A65CC8160F7}" startIndex="0" length="12"/>
    </mentions>
  </threadedComment>
  <threadedComment ref="M34" dT="2026-05-05T13:30:08.29" personId="{C3C1F4EC-F7E9-45DE-A6A5-F371CC2FD6F1}" id="{51F95BDC-0D3C-48BF-A6FA-21A38DD8CDC4}" parentId="{EAE2B35C-900D-4F37-9691-3558AD35210F}">
    <text xml:space="preserve">Agree but the as per equation 1 the product of MS and MCF with the product of the rest of parameters converted to tons since the value returned will be in kilograms. It follows BODMAS rule. brackets will be computed first. </text>
  </threadedComment>
</ThreadedComments>
</file>

<file path=xl/threadedComments/threadedComment2.xml><?xml version="1.0" encoding="utf-8"?>
<ThreadedComments xmlns="http://schemas.microsoft.com/office/spreadsheetml/2018/threadedcomments" xmlns:x="http://schemas.openxmlformats.org/spreadsheetml/2006/main">
  <threadedComment ref="F96" dT="2026-05-03T13:42:45.21" personId="{C3C1F4EC-F7E9-45DE-A6A5-F371CC2FD6F1}" id="{CE287F03-4F9B-4329-9CEA-56498D089BF4}">
    <text>why is the value of EFfossil fuel different for 2023 and 2024.</text>
  </threadedComment>
  <threadedComment ref="F96" dT="2026-05-04T13:06:46.98" personId="{8F6C9A9F-525D-4B3D-AE6D-C369ED05276C}" id="{B9EC0A4A-37C8-4B1B-AAF4-C49C9888C53F}" parentId="{CE287F03-4F9B-4329-9CEA-56498D089BF4}">
    <text>@Pooja Verma This is only an example, I was checking that all cells were properly linked. However, yes, the EF will need to remain the same as its not a monitoring parameter</text>
    <mentions>
      <mention mentionpersonId="{187EF020-F83A-4F6E-8CA1-6594CE135913}" mentionId="{5D3B7CE8-52D9-492D-84EE-CEC4ED8AA80D}" startIndex="0" length="12"/>
    </mentions>
  </threadedComment>
  <threadedComment ref="F96" dT="2026-05-05T13:24:33.63" personId="{C3C1F4EC-F7E9-45DE-A6A5-F371CC2FD6F1}" id="{17A813A4-23EA-47D9-A231-F8A81D86DFD0}" parentId="{CE287F03-4F9B-4329-9CEA-56498D089BF4}">
    <text>okay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1EE2-6380-4CA0-9313-AA1BBE75B5A3}">
  <dimension ref="B8:G21"/>
  <sheetViews>
    <sheetView showGridLines="0" tabSelected="1" workbookViewId="0">
      <selection activeCell="B9" sqref="B9:E9"/>
    </sheetView>
  </sheetViews>
  <sheetFormatPr defaultRowHeight="15"/>
  <cols>
    <col min="2" max="2" width="30.140625" customWidth="1"/>
    <col min="3" max="3" width="30" customWidth="1"/>
    <col min="4" max="4" width="30.5703125" customWidth="1"/>
  </cols>
  <sheetData>
    <row r="8" spans="2:7" ht="78" customHeight="1" thickBot="1">
      <c r="B8" s="173" t="s">
        <v>0</v>
      </c>
      <c r="C8" s="173"/>
      <c r="D8" s="173"/>
      <c r="E8" s="173"/>
    </row>
    <row r="9" spans="2:7">
      <c r="B9" s="177" t="s">
        <v>1</v>
      </c>
      <c r="C9" s="178"/>
      <c r="D9" s="179"/>
      <c r="E9" s="180"/>
    </row>
    <row r="10" spans="2:7" ht="160.5" customHeight="1" thickBot="1">
      <c r="B10" s="174" t="s">
        <v>2</v>
      </c>
      <c r="C10" s="175"/>
      <c r="D10" s="175"/>
      <c r="E10" s="176"/>
      <c r="G10" t="s">
        <v>3</v>
      </c>
    </row>
    <row r="11" spans="2:7" ht="15.75" thickBot="1"/>
    <row r="12" spans="2:7">
      <c r="B12" s="177" t="s">
        <v>4</v>
      </c>
      <c r="C12" s="178"/>
      <c r="D12" s="179"/>
      <c r="E12" s="180"/>
    </row>
    <row r="13" spans="2:7" ht="15" customHeight="1">
      <c r="B13" s="167" t="s">
        <v>5</v>
      </c>
      <c r="C13" s="168"/>
      <c r="D13" s="168"/>
      <c r="E13" s="169"/>
    </row>
    <row r="14" spans="2:7" ht="45" customHeight="1" thickBot="1">
      <c r="B14" s="170"/>
      <c r="C14" s="171"/>
      <c r="D14" s="171"/>
      <c r="E14" s="172"/>
    </row>
    <row r="15" spans="2:7" ht="15.75" thickBot="1"/>
    <row r="16" spans="2:7">
      <c r="B16" s="139" t="s">
        <v>6</v>
      </c>
    </row>
    <row r="17" spans="2:2">
      <c r="B17" s="140" t="s">
        <v>7</v>
      </c>
    </row>
    <row r="18" spans="2:2">
      <c r="B18" s="141" t="s">
        <v>8</v>
      </c>
    </row>
    <row r="19" spans="2:2">
      <c r="B19" s="142" t="s">
        <v>9</v>
      </c>
    </row>
    <row r="20" spans="2:2">
      <c r="B20" s="143" t="s">
        <v>10</v>
      </c>
    </row>
    <row r="21" spans="2:2" ht="15.75" thickBot="1">
      <c r="B21" s="144" t="s">
        <v>11</v>
      </c>
    </row>
  </sheetData>
  <mergeCells count="5">
    <mergeCell ref="B13:E14"/>
    <mergeCell ref="B8:E8"/>
    <mergeCell ref="B10:E10"/>
    <mergeCell ref="B12:E12"/>
    <mergeCell ref="B9: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0A8B-A3D5-4F1D-BE95-3956163411A0}">
  <dimension ref="B9:R73"/>
  <sheetViews>
    <sheetView showGridLines="0" workbookViewId="0">
      <selection activeCell="Q37" sqref="Q37"/>
    </sheetView>
  </sheetViews>
  <sheetFormatPr defaultRowHeight="15"/>
  <cols>
    <col min="2" max="2" width="11.5703125" customWidth="1"/>
    <col min="4" max="4" width="36.42578125" customWidth="1"/>
    <col min="5" max="5" width="25.85546875" customWidth="1"/>
    <col min="6" max="6" width="14.7109375" customWidth="1"/>
    <col min="7" max="7" width="20.140625" customWidth="1"/>
    <col min="8" max="9" width="15.85546875" customWidth="1"/>
    <col min="10" max="10" width="31.42578125" customWidth="1"/>
    <col min="11" max="11" width="22.28515625" customWidth="1"/>
    <col min="12" max="12" width="22.7109375" customWidth="1"/>
    <col min="13" max="13" width="37.140625" customWidth="1"/>
    <col min="14" max="14" width="15.85546875" customWidth="1"/>
    <col min="15" max="15" width="19.5703125" customWidth="1"/>
    <col min="16" max="16" width="26.5703125" customWidth="1"/>
    <col min="17" max="17" width="29.85546875" customWidth="1"/>
    <col min="18" max="18" width="29.5703125" customWidth="1"/>
  </cols>
  <sheetData>
    <row r="9" spans="2:5" s="6" customFormat="1">
      <c r="B9" s="12" t="s">
        <v>12</v>
      </c>
    </row>
    <row r="10" spans="2:5" ht="15.75" thickBot="1"/>
    <row r="11" spans="2:5">
      <c r="C11" s="193" t="s">
        <v>13</v>
      </c>
      <c r="D11" s="194"/>
      <c r="E11" s="34"/>
    </row>
    <row r="12" spans="2:5">
      <c r="C12" s="67" t="s">
        <v>14</v>
      </c>
      <c r="D12" s="68" t="s">
        <v>15</v>
      </c>
      <c r="E12" s="19"/>
    </row>
    <row r="13" spans="2:5">
      <c r="C13" s="8">
        <v>2023</v>
      </c>
      <c r="D13" s="145">
        <f>Q33</f>
        <v>41348</v>
      </c>
      <c r="E13" s="20"/>
    </row>
    <row r="14" spans="2:5">
      <c r="C14" s="8">
        <v>2024</v>
      </c>
      <c r="D14" s="145">
        <f>Q36</f>
        <v>41820</v>
      </c>
      <c r="E14" s="20"/>
    </row>
    <row r="15" spans="2:5">
      <c r="C15" s="8"/>
      <c r="D15" s="145"/>
      <c r="E15" s="20"/>
    </row>
    <row r="16" spans="2:5">
      <c r="C16" s="8"/>
      <c r="D16" s="9"/>
      <c r="E16" s="20"/>
    </row>
    <row r="17" spans="3:17">
      <c r="C17" s="8"/>
      <c r="D17" s="9"/>
      <c r="E17" s="20"/>
    </row>
    <row r="18" spans="3:17">
      <c r="C18" s="8"/>
      <c r="D18" s="9"/>
      <c r="E18" s="20"/>
    </row>
    <row r="19" spans="3:17" ht="15.75" thickBot="1">
      <c r="C19" s="10"/>
      <c r="D19" s="11"/>
      <c r="E19" s="20"/>
    </row>
    <row r="21" spans="3:17" ht="15.75" thickBot="1"/>
    <row r="22" spans="3:17">
      <c r="K22" s="146"/>
      <c r="L22" s="147"/>
      <c r="M22" s="148"/>
      <c r="N22" s="152"/>
      <c r="O22" s="153"/>
      <c r="P22" s="153"/>
      <c r="Q22" s="154"/>
    </row>
    <row r="23" spans="3:17">
      <c r="K23" s="149"/>
      <c r="L23" s="150"/>
      <c r="M23" s="151"/>
      <c r="N23" s="155"/>
      <c r="O23" s="156"/>
      <c r="P23" s="156"/>
      <c r="Q23" s="157"/>
    </row>
    <row r="24" spans="3:17">
      <c r="K24" s="149"/>
      <c r="L24" s="150"/>
      <c r="M24" s="151"/>
      <c r="N24" s="155"/>
      <c r="O24" s="156"/>
      <c r="P24" s="156"/>
      <c r="Q24" s="157"/>
    </row>
    <row r="25" spans="3:17">
      <c r="K25" s="149"/>
      <c r="L25" s="150"/>
      <c r="M25" s="151"/>
      <c r="N25" s="155"/>
      <c r="O25" s="156"/>
      <c r="P25" s="156"/>
      <c r="Q25" s="157"/>
    </row>
    <row r="26" spans="3:17">
      <c r="K26" s="149"/>
      <c r="L26" s="150"/>
      <c r="M26" s="151"/>
      <c r="N26" s="155"/>
      <c r="O26" s="156"/>
      <c r="P26" s="156"/>
      <c r="Q26" s="157"/>
    </row>
    <row r="27" spans="3:17">
      <c r="D27" s="2"/>
      <c r="E27" s="2"/>
      <c r="K27" s="149"/>
      <c r="L27" s="150"/>
      <c r="M27" s="151"/>
      <c r="N27" s="155"/>
      <c r="O27" s="156"/>
      <c r="P27" s="156"/>
      <c r="Q27" s="157"/>
    </row>
    <row r="28" spans="3:17" ht="55.5" customHeight="1" thickBot="1">
      <c r="K28" s="182" t="s">
        <v>16</v>
      </c>
      <c r="L28" s="183"/>
      <c r="M28" s="184"/>
      <c r="N28" s="185" t="s">
        <v>17</v>
      </c>
      <c r="O28" s="186"/>
      <c r="P28" s="186"/>
      <c r="Q28" s="187"/>
    </row>
    <row r="29" spans="3:17" s="24" customFormat="1" ht="33.75" customHeight="1">
      <c r="D29" s="25" t="s">
        <v>18</v>
      </c>
      <c r="E29" s="31" t="s">
        <v>19</v>
      </c>
      <c r="F29" s="23" t="s">
        <v>20</v>
      </c>
      <c r="G29" s="23" t="s">
        <v>21</v>
      </c>
      <c r="H29" s="23" t="s">
        <v>22</v>
      </c>
      <c r="I29" s="23" t="s">
        <v>23</v>
      </c>
      <c r="J29" s="23"/>
      <c r="K29" s="23" t="s">
        <v>24</v>
      </c>
      <c r="L29" s="23" t="s">
        <v>25</v>
      </c>
      <c r="M29" s="23" t="s">
        <v>26</v>
      </c>
      <c r="N29" s="23" t="s">
        <v>27</v>
      </c>
      <c r="O29" s="23" t="s">
        <v>28</v>
      </c>
      <c r="P29" s="23" t="s">
        <v>29</v>
      </c>
      <c r="Q29" s="23" t="s">
        <v>26</v>
      </c>
    </row>
    <row r="30" spans="3:17" s="24" customFormat="1" ht="144.75">
      <c r="D30" s="161" t="s">
        <v>30</v>
      </c>
      <c r="E30" s="166" t="s">
        <v>31</v>
      </c>
      <c r="F30" s="26" t="s">
        <v>32</v>
      </c>
      <c r="G30" s="26" t="s">
        <v>33</v>
      </c>
      <c r="H30" s="26" t="s">
        <v>34</v>
      </c>
      <c r="I30" s="26" t="s">
        <v>35</v>
      </c>
      <c r="J30" s="26" t="s">
        <v>36</v>
      </c>
      <c r="K30" s="26" t="s">
        <v>37</v>
      </c>
      <c r="L30" s="26" t="s">
        <v>38</v>
      </c>
      <c r="M30" s="26" t="s">
        <v>39</v>
      </c>
      <c r="N30" s="26" t="s">
        <v>40</v>
      </c>
      <c r="O30" s="26" t="s">
        <v>41</v>
      </c>
      <c r="P30" s="26" t="s">
        <v>42</v>
      </c>
      <c r="Q30" s="27" t="s">
        <v>43</v>
      </c>
    </row>
    <row r="31" spans="3:17" ht="29.25">
      <c r="D31" s="162" t="s">
        <v>44</v>
      </c>
      <c r="E31" s="188">
        <v>2023</v>
      </c>
      <c r="F31" s="165">
        <f>K50</f>
        <v>0.36176616317215154</v>
      </c>
      <c r="G31" s="18">
        <v>0.94</v>
      </c>
      <c r="H31" s="18">
        <v>28</v>
      </c>
      <c r="I31" s="18">
        <v>0.67</v>
      </c>
      <c r="J31" s="106">
        <f>H69</f>
        <v>0.45999999999999996</v>
      </c>
      <c r="K31" s="99">
        <v>21000000</v>
      </c>
      <c r="L31" s="100">
        <v>0.55000000000000004</v>
      </c>
      <c r="M31" s="109">
        <f>F31*K31*L31*G31*H31*I31/1000*J31</f>
        <v>33894.438787529805</v>
      </c>
      <c r="N31" s="95"/>
      <c r="O31" s="95"/>
      <c r="P31" s="95"/>
      <c r="Q31" s="96"/>
    </row>
    <row r="32" spans="3:17" ht="29.25">
      <c r="D32" s="163" t="s">
        <v>45</v>
      </c>
      <c r="E32" s="189"/>
      <c r="F32" s="165">
        <f>K50</f>
        <v>0.36176616317215154</v>
      </c>
      <c r="G32" s="18">
        <v>0.94</v>
      </c>
      <c r="H32" s="18">
        <v>28</v>
      </c>
      <c r="I32" s="18">
        <v>0.67</v>
      </c>
      <c r="J32" s="106">
        <f>H69</f>
        <v>0.45999999999999996</v>
      </c>
      <c r="K32" s="95"/>
      <c r="L32" s="95"/>
      <c r="M32" s="95"/>
      <c r="N32" s="100">
        <v>520</v>
      </c>
      <c r="O32" s="100">
        <v>12</v>
      </c>
      <c r="P32" s="100">
        <v>5000</v>
      </c>
      <c r="Q32" s="109">
        <f>F32*(N32-O32)*P32*G32*H32*I32/1000*J32</f>
        <v>7453.8419498117491</v>
      </c>
    </row>
    <row r="33" spans="2:18">
      <c r="D33" s="164" t="s">
        <v>46</v>
      </c>
      <c r="E33" s="190"/>
      <c r="F33" s="28"/>
      <c r="G33" s="28"/>
      <c r="H33" s="28"/>
      <c r="I33" s="28"/>
      <c r="J33" s="28"/>
      <c r="K33" s="28"/>
      <c r="L33" s="28"/>
      <c r="M33" s="28"/>
      <c r="N33" s="28"/>
      <c r="O33" s="28"/>
      <c r="P33" s="28"/>
      <c r="Q33" s="94">
        <f>ROUNDDOWN((Q32+M31),0)</f>
        <v>41348</v>
      </c>
      <c r="R33" s="98"/>
    </row>
    <row r="34" spans="2:18" ht="29.25">
      <c r="D34" s="159" t="s">
        <v>44</v>
      </c>
      <c r="E34" s="191">
        <v>2024</v>
      </c>
      <c r="F34" s="109">
        <f>K54</f>
        <v>0.28517869771652538</v>
      </c>
      <c r="G34" s="18">
        <v>0.94</v>
      </c>
      <c r="H34" s="18">
        <v>28</v>
      </c>
      <c r="I34" s="18">
        <v>0.67</v>
      </c>
      <c r="J34" s="106">
        <f>H73</f>
        <v>0.73</v>
      </c>
      <c r="K34" s="99">
        <v>16093939</v>
      </c>
      <c r="L34" s="100">
        <v>0.55000000000000004</v>
      </c>
      <c r="M34" s="109">
        <f>F34*K34*L34*G34*H34*J34*I34/1000</f>
        <v>32495.683010892713</v>
      </c>
      <c r="N34" s="95"/>
      <c r="O34" s="95"/>
      <c r="P34" s="95"/>
      <c r="Q34" s="97"/>
    </row>
    <row r="35" spans="2:18" ht="29.25">
      <c r="D35" s="158" t="s">
        <v>45</v>
      </c>
      <c r="E35" s="192"/>
      <c r="F35" s="109">
        <f>K54</f>
        <v>0.28517869771652538</v>
      </c>
      <c r="G35" s="18">
        <v>0.94</v>
      </c>
      <c r="H35" s="18">
        <v>28</v>
      </c>
      <c r="I35" s="18">
        <v>0.67</v>
      </c>
      <c r="J35" s="106">
        <f>H73</f>
        <v>0.73</v>
      </c>
      <c r="K35" s="95"/>
      <c r="L35" s="95"/>
      <c r="M35" s="95"/>
      <c r="N35" s="100">
        <v>520</v>
      </c>
      <c r="O35" s="100">
        <v>12</v>
      </c>
      <c r="P35" s="100">
        <v>5000</v>
      </c>
      <c r="Q35" s="109">
        <f>F35*(N35-O35)*P35*G35*H35*I35/1000*J35</f>
        <v>9324.6887819261974</v>
      </c>
    </row>
    <row r="36" spans="2:18">
      <c r="D36" s="160" t="s">
        <v>46</v>
      </c>
      <c r="E36" s="192"/>
      <c r="F36" s="50"/>
      <c r="G36" s="50"/>
      <c r="H36" s="50"/>
      <c r="I36" s="50"/>
      <c r="J36" s="50"/>
      <c r="K36" s="50"/>
      <c r="L36" s="50"/>
      <c r="M36" s="50"/>
      <c r="N36" s="50"/>
      <c r="O36" s="50"/>
      <c r="P36" s="50"/>
      <c r="Q36" s="94">
        <f>ROUNDDOWN((Q35+M34),0)</f>
        <v>41820</v>
      </c>
    </row>
    <row r="40" spans="2:18" s="7" customFormat="1">
      <c r="B40" s="21" t="s">
        <v>47</v>
      </c>
    </row>
    <row r="45" spans="2:18" ht="30">
      <c r="D45" s="38" t="s">
        <v>48</v>
      </c>
      <c r="E45" s="36"/>
      <c r="F45" s="36" t="s">
        <v>49</v>
      </c>
      <c r="G45" s="37" t="s">
        <v>50</v>
      </c>
      <c r="H45" s="37" t="s">
        <v>51</v>
      </c>
      <c r="I45" s="37" t="s">
        <v>52</v>
      </c>
      <c r="J45" s="37" t="s">
        <v>53</v>
      </c>
      <c r="K45" s="37" t="s">
        <v>20</v>
      </c>
    </row>
    <row r="46" spans="2:18" ht="120.75" thickBot="1">
      <c r="D46" s="32" t="s">
        <v>30</v>
      </c>
      <c r="E46" s="32" t="s">
        <v>31</v>
      </c>
      <c r="F46" s="33" t="s">
        <v>54</v>
      </c>
      <c r="G46" s="33" t="s">
        <v>55</v>
      </c>
      <c r="H46" s="33" t="s">
        <v>56</v>
      </c>
      <c r="I46" s="33" t="s">
        <v>57</v>
      </c>
      <c r="J46" s="33" t="s">
        <v>57</v>
      </c>
      <c r="K46" s="33" t="s">
        <v>58</v>
      </c>
    </row>
    <row r="47" spans="2:18">
      <c r="D47" s="84" t="s">
        <v>59</v>
      </c>
      <c r="E47" s="181">
        <v>2023</v>
      </c>
      <c r="F47" s="102">
        <v>0.45</v>
      </c>
      <c r="G47" s="103">
        <v>1250</v>
      </c>
      <c r="H47" s="103">
        <v>2438</v>
      </c>
      <c r="I47" s="105">
        <f>F47*G47*H47</f>
        <v>1371375</v>
      </c>
      <c r="J47" s="105">
        <f>G47*H47</f>
        <v>3047500</v>
      </c>
      <c r="K47" s="89"/>
    </row>
    <row r="48" spans="2:18">
      <c r="D48" s="85" t="s">
        <v>60</v>
      </c>
      <c r="E48" s="181"/>
      <c r="F48" s="104">
        <v>0.25</v>
      </c>
      <c r="G48" s="100">
        <v>1425</v>
      </c>
      <c r="H48" s="100">
        <v>1285</v>
      </c>
      <c r="I48" s="106">
        <f>F48*G48*H48</f>
        <v>457781.25</v>
      </c>
      <c r="J48" s="106">
        <f>G48*H48</f>
        <v>1831125</v>
      </c>
      <c r="K48" s="90"/>
    </row>
    <row r="49" spans="2:12" ht="15.75" thickBot="1">
      <c r="D49" s="86" t="s">
        <v>61</v>
      </c>
      <c r="E49" s="181"/>
      <c r="F49" s="104">
        <v>0.26</v>
      </c>
      <c r="G49" s="100">
        <v>600</v>
      </c>
      <c r="H49" s="100">
        <v>1052</v>
      </c>
      <c r="I49" s="107">
        <f>F49*G49*H49</f>
        <v>164112</v>
      </c>
      <c r="J49" s="107">
        <f>G49*H49</f>
        <v>631200</v>
      </c>
      <c r="K49" s="91"/>
    </row>
    <row r="50" spans="2:12" ht="15.75" thickBot="1">
      <c r="D50" s="43" t="s">
        <v>46</v>
      </c>
      <c r="E50" s="181"/>
      <c r="F50" s="87"/>
      <c r="G50" s="88"/>
      <c r="H50" s="88"/>
      <c r="I50" s="30">
        <f>SUM(I47:I49)</f>
        <v>1993268.25</v>
      </c>
      <c r="J50" s="30">
        <f>SUM(J47:J49)</f>
        <v>5509825</v>
      </c>
      <c r="K50" s="93">
        <f>I50/J50</f>
        <v>0.36176616317215154</v>
      </c>
    </row>
    <row r="51" spans="2:12">
      <c r="D51" s="84" t="s">
        <v>59</v>
      </c>
      <c r="E51" s="181">
        <v>2024</v>
      </c>
      <c r="F51" s="102">
        <v>0.3</v>
      </c>
      <c r="G51" s="103">
        <v>5689</v>
      </c>
      <c r="H51" s="103">
        <v>2588</v>
      </c>
      <c r="I51" s="105">
        <f>F51*G51*H51</f>
        <v>4416939.6000000006</v>
      </c>
      <c r="J51" s="105">
        <f>G51*H51</f>
        <v>14723132</v>
      </c>
      <c r="K51" s="89"/>
    </row>
    <row r="52" spans="2:12">
      <c r="D52" s="85" t="s">
        <v>60</v>
      </c>
      <c r="E52" s="181"/>
      <c r="F52" s="104">
        <v>0.27</v>
      </c>
      <c r="G52" s="100">
        <v>1006</v>
      </c>
      <c r="H52" s="100">
        <v>1285</v>
      </c>
      <c r="I52" s="106">
        <f>F52*G52*H52</f>
        <v>349031.7</v>
      </c>
      <c r="J52" s="106">
        <f>G52*H52</f>
        <v>1292710</v>
      </c>
      <c r="K52" s="90"/>
    </row>
    <row r="53" spans="2:12" ht="15.75" thickBot="1">
      <c r="D53" s="86" t="s">
        <v>61</v>
      </c>
      <c r="E53" s="181"/>
      <c r="F53" s="104">
        <v>0.17</v>
      </c>
      <c r="G53" s="100">
        <v>1639</v>
      </c>
      <c r="H53" s="100">
        <v>1052</v>
      </c>
      <c r="I53" s="107">
        <f>F53*G53*H53</f>
        <v>293118.76</v>
      </c>
      <c r="J53" s="107">
        <f>G53*H53</f>
        <v>1724228</v>
      </c>
      <c r="K53" s="91"/>
    </row>
    <row r="54" spans="2:12" ht="15.75" thickBot="1">
      <c r="D54" s="43" t="s">
        <v>46</v>
      </c>
      <c r="E54" s="181"/>
      <c r="F54" s="87"/>
      <c r="G54" s="88"/>
      <c r="H54" s="88"/>
      <c r="I54" s="30">
        <f>SUM(I51:I53)</f>
        <v>5059090.0600000005</v>
      </c>
      <c r="J54" s="30">
        <f>SUM(J51:J53)</f>
        <v>17740070</v>
      </c>
      <c r="K54" s="93">
        <f>I54/J54</f>
        <v>0.28517869771652538</v>
      </c>
    </row>
    <row r="55" spans="2:12">
      <c r="D55" s="2"/>
      <c r="E55" s="24"/>
      <c r="G55" s="2"/>
      <c r="H55" s="2"/>
      <c r="I55" s="2"/>
      <c r="J55" s="2"/>
      <c r="K55" s="2"/>
      <c r="L55" s="2"/>
    </row>
    <row r="58" spans="2:12" s="21" customFormat="1">
      <c r="B58" s="21" t="s">
        <v>62</v>
      </c>
    </row>
    <row r="59" spans="2:12" s="2" customFormat="1"/>
    <row r="64" spans="2:12" ht="30">
      <c r="E64" s="41" t="s">
        <v>14</v>
      </c>
      <c r="F64" s="41" t="s">
        <v>63</v>
      </c>
      <c r="G64" s="35" t="s">
        <v>64</v>
      </c>
      <c r="H64" s="35" t="s">
        <v>65</v>
      </c>
      <c r="I64" s="57"/>
    </row>
    <row r="65" spans="4:9" ht="90">
      <c r="D65" s="32" t="s">
        <v>30</v>
      </c>
      <c r="E65" s="33"/>
      <c r="F65" s="33" t="s">
        <v>66</v>
      </c>
      <c r="G65" s="33" t="s">
        <v>67</v>
      </c>
      <c r="H65" s="33" t="s">
        <v>68</v>
      </c>
      <c r="I65" s="58"/>
    </row>
    <row r="66" spans="4:9">
      <c r="D66" s="42" t="s">
        <v>69</v>
      </c>
      <c r="E66" s="181">
        <v>2023</v>
      </c>
      <c r="F66" s="104">
        <v>0.5</v>
      </c>
      <c r="G66" s="100">
        <v>0.73</v>
      </c>
      <c r="H66" s="106">
        <f>F66*G66</f>
        <v>0.36499999999999999</v>
      </c>
    </row>
    <row r="67" spans="4:9">
      <c r="D67" s="42" t="s">
        <v>70</v>
      </c>
      <c r="E67" s="181"/>
      <c r="F67" s="104">
        <v>0.5</v>
      </c>
      <c r="G67" s="100">
        <v>0.19</v>
      </c>
      <c r="H67" s="106">
        <f t="shared" ref="H67:H68" si="0">F67*G67</f>
        <v>9.5000000000000001E-2</v>
      </c>
    </row>
    <row r="68" spans="4:9" ht="15.75" thickBot="1">
      <c r="D68" s="42" t="s">
        <v>71</v>
      </c>
      <c r="E68" s="181"/>
      <c r="F68" s="104">
        <v>0</v>
      </c>
      <c r="G68" s="100">
        <v>0.01</v>
      </c>
      <c r="H68" s="106">
        <f t="shared" si="0"/>
        <v>0</v>
      </c>
    </row>
    <row r="69" spans="4:9" ht="15.75" thickBot="1">
      <c r="D69" s="43" t="s">
        <v>46</v>
      </c>
      <c r="E69" s="181"/>
      <c r="F69" s="108"/>
      <c r="G69" s="108"/>
      <c r="H69" s="30">
        <f>SUM(H66:H68)</f>
        <v>0.45999999999999996</v>
      </c>
      <c r="I69" s="2"/>
    </row>
    <row r="70" spans="4:9">
      <c r="D70" s="42" t="s">
        <v>69</v>
      </c>
      <c r="E70" s="181">
        <v>2024</v>
      </c>
      <c r="F70" s="104">
        <v>1</v>
      </c>
      <c r="G70" s="100">
        <v>0.73</v>
      </c>
      <c r="H70" s="106">
        <f>F70*G70</f>
        <v>0.73</v>
      </c>
    </row>
    <row r="71" spans="4:9">
      <c r="D71" s="42" t="s">
        <v>70</v>
      </c>
      <c r="E71" s="181"/>
      <c r="F71" s="104">
        <v>0</v>
      </c>
      <c r="G71" s="100">
        <v>0.19</v>
      </c>
      <c r="H71" s="106">
        <f t="shared" ref="H71:H72" si="1">F71*G71</f>
        <v>0</v>
      </c>
    </row>
    <row r="72" spans="4:9" ht="15.75" thickBot="1">
      <c r="D72" s="42" t="s">
        <v>71</v>
      </c>
      <c r="E72" s="181"/>
      <c r="F72" s="104">
        <v>0</v>
      </c>
      <c r="G72" s="100">
        <v>0.01</v>
      </c>
      <c r="H72" s="106">
        <f t="shared" si="1"/>
        <v>0</v>
      </c>
    </row>
    <row r="73" spans="4:9" ht="15.75" thickBot="1">
      <c r="D73" s="43" t="s">
        <v>46</v>
      </c>
      <c r="E73" s="181"/>
      <c r="F73" s="108"/>
      <c r="G73" s="108"/>
      <c r="H73" s="30">
        <f>SUM(H70:H72)</f>
        <v>0.73</v>
      </c>
      <c r="I73" s="2"/>
    </row>
  </sheetData>
  <mergeCells count="9">
    <mergeCell ref="N28:Q28"/>
    <mergeCell ref="E31:E33"/>
    <mergeCell ref="E34:E36"/>
    <mergeCell ref="C11:D11"/>
    <mergeCell ref="E47:E50"/>
    <mergeCell ref="E51:E54"/>
    <mergeCell ref="E66:E69"/>
    <mergeCell ref="E70:E73"/>
    <mergeCell ref="K28:M2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1C32-4B47-4EBB-8F1B-DF7063169618}">
  <dimension ref="B7:AG79"/>
  <sheetViews>
    <sheetView showGridLines="0" zoomScale="80" zoomScaleNormal="80" workbookViewId="0">
      <selection activeCell="O31" sqref="O31"/>
    </sheetView>
  </sheetViews>
  <sheetFormatPr defaultRowHeight="15"/>
  <cols>
    <col min="1" max="1" width="10.7109375" customWidth="1"/>
    <col min="2" max="2" width="28.85546875" customWidth="1"/>
    <col min="3" max="3" width="23.85546875" customWidth="1"/>
    <col min="4" max="5" width="17.85546875" customWidth="1"/>
    <col min="6" max="6" width="16.28515625" customWidth="1"/>
    <col min="7" max="7" width="14.7109375" customWidth="1"/>
    <col min="8" max="8" width="15.85546875" customWidth="1"/>
    <col min="9" max="9" width="17.5703125" customWidth="1"/>
    <col min="10" max="10" width="15.28515625" customWidth="1"/>
    <col min="11" max="11" width="15.7109375" customWidth="1"/>
    <col min="12" max="12" width="11.28515625" customWidth="1"/>
    <col min="13" max="13" width="28" customWidth="1"/>
    <col min="14" max="14" width="23.85546875" customWidth="1"/>
  </cols>
  <sheetData>
    <row r="7" spans="2:3" s="7" customFormat="1">
      <c r="B7" s="21" t="s">
        <v>72</v>
      </c>
    </row>
    <row r="8" spans="2:3" ht="15.75" thickBot="1"/>
    <row r="9" spans="2:3">
      <c r="B9" s="193" t="s">
        <v>13</v>
      </c>
      <c r="C9" s="194"/>
    </row>
    <row r="10" spans="2:3">
      <c r="B10" s="67" t="s">
        <v>14</v>
      </c>
      <c r="C10" s="68" t="s">
        <v>15</v>
      </c>
    </row>
    <row r="11" spans="2:3">
      <c r="B11" s="8">
        <v>2023</v>
      </c>
      <c r="C11" s="9">
        <f>ROUNDDOWN(N34,0)</f>
        <v>5070</v>
      </c>
    </row>
    <row r="12" spans="2:3">
      <c r="B12" s="8">
        <v>2024</v>
      </c>
      <c r="C12" s="9">
        <f>ROUNDDOWN(N38,0)</f>
        <v>1681</v>
      </c>
    </row>
    <row r="13" spans="2:3">
      <c r="B13" s="8"/>
      <c r="C13" s="9"/>
    </row>
    <row r="14" spans="2:3">
      <c r="B14" s="8"/>
      <c r="C14" s="9"/>
    </row>
    <row r="15" spans="2:3">
      <c r="B15" s="8"/>
      <c r="C15" s="9"/>
    </row>
    <row r="16" spans="2:3">
      <c r="B16" s="8"/>
      <c r="C16" s="9"/>
    </row>
    <row r="17" spans="2:14" ht="15.75" thickBot="1">
      <c r="B17" s="10"/>
      <c r="C17" s="11"/>
    </row>
    <row r="28" spans="2:14" ht="15.75" thickBot="1"/>
    <row r="29" spans="2:14" s="22" customFormat="1" ht="34.9" customHeight="1">
      <c r="B29" s="45" t="s">
        <v>18</v>
      </c>
      <c r="C29" s="45" t="s">
        <v>14</v>
      </c>
      <c r="D29" s="35" t="s">
        <v>49</v>
      </c>
      <c r="E29" s="35" t="s">
        <v>73</v>
      </c>
      <c r="F29" s="35" t="s">
        <v>74</v>
      </c>
      <c r="G29" s="35" t="s">
        <v>75</v>
      </c>
      <c r="H29" s="35" t="s">
        <v>76</v>
      </c>
      <c r="I29" s="35" t="s">
        <v>77</v>
      </c>
      <c r="J29" s="35" t="s">
        <v>21</v>
      </c>
      <c r="K29" s="35" t="s">
        <v>22</v>
      </c>
      <c r="L29" s="35" t="s">
        <v>23</v>
      </c>
      <c r="M29" s="23"/>
      <c r="N29" s="35" t="s">
        <v>26</v>
      </c>
    </row>
    <row r="30" spans="2:14" ht="115.9" customHeight="1" thickBot="1">
      <c r="B30" s="32" t="s">
        <v>30</v>
      </c>
      <c r="C30" s="47"/>
      <c r="D30" s="33" t="s">
        <v>78</v>
      </c>
      <c r="E30" s="33" t="s">
        <v>55</v>
      </c>
      <c r="F30" s="33" t="s">
        <v>79</v>
      </c>
      <c r="G30" s="33" t="s">
        <v>80</v>
      </c>
      <c r="H30" s="33" t="s">
        <v>81</v>
      </c>
      <c r="I30" s="33" t="s">
        <v>82</v>
      </c>
      <c r="J30" s="33" t="s">
        <v>33</v>
      </c>
      <c r="K30" s="33" t="s">
        <v>83</v>
      </c>
      <c r="L30" s="33" t="s">
        <v>35</v>
      </c>
      <c r="M30" s="26" t="s">
        <v>36</v>
      </c>
      <c r="N30" s="33" t="s">
        <v>84</v>
      </c>
    </row>
    <row r="31" spans="2:14" ht="30.75" thickBot="1">
      <c r="B31" s="48" t="s">
        <v>85</v>
      </c>
      <c r="C31" s="197">
        <v>2023</v>
      </c>
      <c r="D31" s="103">
        <v>0.3</v>
      </c>
      <c r="E31" s="103">
        <v>5689</v>
      </c>
      <c r="F31" s="103">
        <v>2588</v>
      </c>
      <c r="G31" s="103">
        <v>0.46</v>
      </c>
      <c r="H31" s="117">
        <f>$F$72</f>
        <v>0.7857142857142857</v>
      </c>
      <c r="I31" s="117">
        <f>$F$73</f>
        <v>0.9821428571428571</v>
      </c>
      <c r="J31" s="49">
        <v>0.94</v>
      </c>
      <c r="K31" s="49">
        <v>28</v>
      </c>
      <c r="L31" s="49">
        <v>0.67</v>
      </c>
      <c r="M31" s="106">
        <f>$F$54</f>
        <v>0.6160000000000001</v>
      </c>
      <c r="N31" s="109">
        <f>D31*E31*F31*G31*(1-H31)*I31*J31*K31*L31/1000*M31</f>
        <v>4645.0305376215856</v>
      </c>
    </row>
    <row r="32" spans="2:14" ht="30.75" thickBot="1">
      <c r="B32" s="16" t="s">
        <v>86</v>
      </c>
      <c r="C32" s="198"/>
      <c r="D32" s="100">
        <v>0.27</v>
      </c>
      <c r="E32" s="100">
        <v>1006</v>
      </c>
      <c r="F32" s="100">
        <v>1285</v>
      </c>
      <c r="G32" s="100">
        <v>0.28999999999999998</v>
      </c>
      <c r="H32" s="117">
        <f>$F$72</f>
        <v>0.7857142857142857</v>
      </c>
      <c r="I32" s="117">
        <f>$F$73</f>
        <v>0.9821428571428571</v>
      </c>
      <c r="J32" s="46">
        <v>0.94</v>
      </c>
      <c r="K32" s="46">
        <v>28</v>
      </c>
      <c r="L32" s="49">
        <v>0.67</v>
      </c>
      <c r="M32" s="106">
        <f>$F$54</f>
        <v>0.6160000000000001</v>
      </c>
      <c r="N32" s="109">
        <f>D32*E32*F32*G32*(1-H32)*I32*J32*K32*L32/1000*M32</f>
        <v>231.40468733758206</v>
      </c>
    </row>
    <row r="33" spans="2:14" ht="30.75" thickBot="1">
      <c r="B33" s="16" t="s">
        <v>87</v>
      </c>
      <c r="C33" s="199"/>
      <c r="D33" s="100">
        <v>0.17</v>
      </c>
      <c r="E33" s="100">
        <v>1639</v>
      </c>
      <c r="F33" s="100">
        <v>1052</v>
      </c>
      <c r="G33" s="100">
        <v>0.28999999999999998</v>
      </c>
      <c r="H33" s="117">
        <f>$F$72</f>
        <v>0.7857142857142857</v>
      </c>
      <c r="I33" s="117">
        <f>$F$73</f>
        <v>0.9821428571428571</v>
      </c>
      <c r="J33" s="46">
        <v>0.94</v>
      </c>
      <c r="K33" s="46">
        <v>28</v>
      </c>
      <c r="L33" s="49">
        <v>0.67</v>
      </c>
      <c r="M33" s="106">
        <f>$F$54</f>
        <v>0.6160000000000001</v>
      </c>
      <c r="N33" s="109">
        <f>D33*E33*F33*G33*(1-H33)*I33*J33*K33*L33/1000*M33</f>
        <v>194.33494152702963</v>
      </c>
    </row>
    <row r="34" spans="2:14" ht="15.75" thickBot="1">
      <c r="B34" s="52" t="s">
        <v>46</v>
      </c>
      <c r="C34" s="53"/>
      <c r="D34" s="54"/>
      <c r="E34" s="54"/>
      <c r="F34" s="54"/>
      <c r="G34" s="54"/>
      <c r="H34" s="116"/>
      <c r="I34" s="116"/>
      <c r="J34" s="54"/>
      <c r="K34" s="54"/>
      <c r="L34" s="54"/>
      <c r="M34" s="118"/>
      <c r="N34" s="94">
        <f>SUM(N31:N33)</f>
        <v>5070.770166486197</v>
      </c>
    </row>
    <row r="35" spans="2:14" ht="30.75" thickBot="1">
      <c r="B35" s="48" t="s">
        <v>85</v>
      </c>
      <c r="C35" s="197">
        <v>2024</v>
      </c>
      <c r="D35" s="103">
        <v>0.3</v>
      </c>
      <c r="E35" s="103">
        <v>5689</v>
      </c>
      <c r="F35" s="103">
        <v>2588</v>
      </c>
      <c r="G35" s="103">
        <v>0.46</v>
      </c>
      <c r="H35" s="117">
        <f>$F$74</f>
        <v>0.7857142857142857</v>
      </c>
      <c r="I35" s="117">
        <f>$F$75</f>
        <v>0.9642857142857143</v>
      </c>
      <c r="J35" s="49">
        <v>0.94</v>
      </c>
      <c r="K35" s="49">
        <v>28</v>
      </c>
      <c r="L35" s="49">
        <v>0.67</v>
      </c>
      <c r="M35" s="106">
        <f>$F$58</f>
        <v>0.20799999999999999</v>
      </c>
      <c r="N35" s="120">
        <f>D35*E35*F35*G35*(1-H35)*I35*J35*K35*L35/1000*M35</f>
        <v>1539.934563121772</v>
      </c>
    </row>
    <row r="36" spans="2:14" ht="30.75" thickBot="1">
      <c r="B36" s="16" t="s">
        <v>86</v>
      </c>
      <c r="C36" s="198"/>
      <c r="D36" s="100">
        <v>0.27</v>
      </c>
      <c r="E36" s="100">
        <v>1006</v>
      </c>
      <c r="F36" s="100">
        <v>1285</v>
      </c>
      <c r="G36" s="100">
        <v>0.28999999999999998</v>
      </c>
      <c r="H36" s="117">
        <f>$F$74</f>
        <v>0.7857142857142857</v>
      </c>
      <c r="I36" s="117">
        <f>$F$75</f>
        <v>0.9642857142857143</v>
      </c>
      <c r="J36" s="46">
        <v>0.94</v>
      </c>
      <c r="K36" s="46">
        <v>28</v>
      </c>
      <c r="L36" s="49">
        <v>0.67</v>
      </c>
      <c r="M36" s="106">
        <f>$F$58</f>
        <v>0.20799999999999999</v>
      </c>
      <c r="N36" s="109">
        <f>D36*E36*F36*G36*(1-H36)*I36*J36*K36*L36/1000*M36</f>
        <v>76.715981351113371</v>
      </c>
    </row>
    <row r="37" spans="2:14" ht="30.75" thickBot="1">
      <c r="B37" s="16" t="s">
        <v>87</v>
      </c>
      <c r="C37" s="199"/>
      <c r="D37" s="100">
        <v>0.17</v>
      </c>
      <c r="E37" s="100">
        <v>1639</v>
      </c>
      <c r="F37" s="100">
        <v>1052</v>
      </c>
      <c r="G37" s="100">
        <v>0.28999999999999998</v>
      </c>
      <c r="H37" s="117">
        <f>$F$74</f>
        <v>0.7857142857142857</v>
      </c>
      <c r="I37" s="117">
        <f>$F$75</f>
        <v>0.9642857142857143</v>
      </c>
      <c r="J37" s="46">
        <v>0.94</v>
      </c>
      <c r="K37" s="46">
        <v>28</v>
      </c>
      <c r="L37" s="49">
        <v>0.67</v>
      </c>
      <c r="M37" s="106">
        <f>$F$58</f>
        <v>0.20799999999999999</v>
      </c>
      <c r="N37" s="121">
        <f>D37*E37*F37*G37*(1-H37)*I37*J37*K37*L37/1000*M37</f>
        <v>64.426507179208869</v>
      </c>
    </row>
    <row r="38" spans="2:14" ht="15.75" thickBot="1">
      <c r="B38" s="52" t="s">
        <v>46</v>
      </c>
      <c r="C38" s="53"/>
      <c r="D38" s="54"/>
      <c r="E38" s="54"/>
      <c r="F38" s="54"/>
      <c r="G38" s="54"/>
      <c r="H38" s="54"/>
      <c r="I38" s="54"/>
      <c r="J38" s="54"/>
      <c r="K38" s="54"/>
      <c r="L38" s="54"/>
      <c r="M38" s="119"/>
      <c r="N38" s="94">
        <f>SUM(N35:N37)</f>
        <v>1681.0770516520943</v>
      </c>
    </row>
    <row r="39" spans="2:14">
      <c r="B39" s="3"/>
      <c r="C39" s="24"/>
    </row>
    <row r="40" spans="2:14">
      <c r="B40" s="3"/>
      <c r="C40" s="24"/>
    </row>
    <row r="41" spans="2:14">
      <c r="B41" s="3"/>
      <c r="C41" s="24"/>
    </row>
    <row r="42" spans="2:14" s="21" customFormat="1">
      <c r="B42" s="21" t="s">
        <v>88</v>
      </c>
    </row>
    <row r="43" spans="2:14" s="2" customFormat="1"/>
    <row r="49" spans="2:6" ht="30">
      <c r="C49" s="41" t="s">
        <v>14</v>
      </c>
      <c r="D49" s="41" t="s">
        <v>63</v>
      </c>
      <c r="E49" s="35" t="s">
        <v>64</v>
      </c>
      <c r="F49" s="35" t="s">
        <v>65</v>
      </c>
    </row>
    <row r="50" spans="2:6" ht="75">
      <c r="B50" s="32" t="s">
        <v>30</v>
      </c>
      <c r="C50" s="33"/>
      <c r="D50" s="33" t="s">
        <v>66</v>
      </c>
      <c r="E50" s="33" t="s">
        <v>67</v>
      </c>
      <c r="F50" s="33" t="s">
        <v>68</v>
      </c>
    </row>
    <row r="51" spans="2:6">
      <c r="B51" s="42" t="s">
        <v>69</v>
      </c>
      <c r="C51" s="181">
        <v>2023</v>
      </c>
      <c r="D51" s="104">
        <v>0.80800000000000005</v>
      </c>
      <c r="E51" s="100">
        <v>0.76</v>
      </c>
      <c r="F51" s="106">
        <f>D51*E51</f>
        <v>0.61408000000000007</v>
      </c>
    </row>
    <row r="52" spans="2:6">
      <c r="B52" s="42" t="s">
        <v>70</v>
      </c>
      <c r="C52" s="181"/>
      <c r="D52" s="104">
        <v>0.192</v>
      </c>
      <c r="E52" s="100">
        <v>0.01</v>
      </c>
      <c r="F52" s="106">
        <f t="shared" ref="F52:F53" si="0">D52*E52</f>
        <v>1.92E-3</v>
      </c>
    </row>
    <row r="53" spans="2:6" ht="15.75" thickBot="1">
      <c r="B53" s="42" t="s">
        <v>71</v>
      </c>
      <c r="C53" s="181"/>
      <c r="D53" s="104">
        <v>0</v>
      </c>
      <c r="E53" s="100">
        <v>0</v>
      </c>
      <c r="F53" s="106">
        <f t="shared" si="0"/>
        <v>0</v>
      </c>
    </row>
    <row r="54" spans="2:6" ht="15.75" thickBot="1">
      <c r="B54" s="59" t="s">
        <v>46</v>
      </c>
      <c r="C54" s="181"/>
      <c r="D54" s="108"/>
      <c r="E54" s="108"/>
      <c r="F54" s="30">
        <f>SUM(F51:F53)</f>
        <v>0.6160000000000001</v>
      </c>
    </row>
    <row r="55" spans="2:6">
      <c r="B55" s="42" t="s">
        <v>69</v>
      </c>
      <c r="C55" s="181">
        <v>2024</v>
      </c>
      <c r="D55" s="104">
        <v>0.2</v>
      </c>
      <c r="E55" s="100">
        <v>0.73</v>
      </c>
      <c r="F55" s="106">
        <f>D55*E55</f>
        <v>0.14599999999999999</v>
      </c>
    </row>
    <row r="56" spans="2:6">
      <c r="B56" s="42" t="s">
        <v>70</v>
      </c>
      <c r="C56" s="181"/>
      <c r="D56" s="104">
        <v>0.3</v>
      </c>
      <c r="E56" s="100">
        <v>0.19</v>
      </c>
      <c r="F56" s="106">
        <f t="shared" ref="F56:F57" si="1">D56*E56</f>
        <v>5.6999999999999995E-2</v>
      </c>
    </row>
    <row r="57" spans="2:6" ht="15.75" thickBot="1">
      <c r="B57" s="42" t="s">
        <v>71</v>
      </c>
      <c r="C57" s="181"/>
      <c r="D57" s="104">
        <v>0.5</v>
      </c>
      <c r="E57" s="100">
        <v>0.01</v>
      </c>
      <c r="F57" s="106">
        <f t="shared" si="1"/>
        <v>5.0000000000000001E-3</v>
      </c>
    </row>
    <row r="58" spans="2:6" ht="15.75" thickBot="1">
      <c r="B58" s="59" t="s">
        <v>46</v>
      </c>
      <c r="C58" s="181"/>
      <c r="D58" s="108"/>
      <c r="E58" s="108"/>
      <c r="F58" s="30">
        <f>SUM(F55:F57)</f>
        <v>0.20799999999999999</v>
      </c>
    </row>
    <row r="64" spans="2:6" s="21" customFormat="1">
      <c r="B64" s="21" t="s">
        <v>89</v>
      </c>
    </row>
    <row r="70" spans="2:33">
      <c r="B70" s="38" t="s">
        <v>48</v>
      </c>
      <c r="C70" s="36"/>
      <c r="D70" s="36" t="s">
        <v>90</v>
      </c>
      <c r="E70" s="55" t="s">
        <v>91</v>
      </c>
      <c r="F70" s="37" t="s">
        <v>77</v>
      </c>
      <c r="G70" s="57"/>
      <c r="H70" s="57"/>
    </row>
    <row r="71" spans="2:33" ht="120.75" thickBot="1">
      <c r="B71" s="32" t="s">
        <v>30</v>
      </c>
      <c r="C71" s="32" t="s">
        <v>31</v>
      </c>
      <c r="D71" s="33" t="s">
        <v>92</v>
      </c>
      <c r="E71" s="56" t="s">
        <v>93</v>
      </c>
      <c r="F71" s="33" t="s">
        <v>94</v>
      </c>
      <c r="G71" s="58"/>
      <c r="H71" s="58"/>
    </row>
    <row r="72" spans="2:33" ht="45">
      <c r="B72" s="48" t="s">
        <v>95</v>
      </c>
      <c r="C72" s="195">
        <v>2023</v>
      </c>
      <c r="D72" s="103">
        <v>0.56000000000000005</v>
      </c>
      <c r="E72" s="103">
        <v>0.12</v>
      </c>
      <c r="F72" s="114">
        <f>(D72-E72)/D72</f>
        <v>0.7857142857142857</v>
      </c>
    </row>
    <row r="73" spans="2:33" ht="30.75" thickBot="1">
      <c r="B73" s="17" t="s">
        <v>96</v>
      </c>
      <c r="C73" s="196"/>
      <c r="D73" s="113">
        <v>0.56000000000000005</v>
      </c>
      <c r="E73" s="113">
        <v>0.01</v>
      </c>
      <c r="F73" s="115">
        <f>(D73-E73)/D73</f>
        <v>0.9821428571428571</v>
      </c>
    </row>
    <row r="74" spans="2:33" ht="45">
      <c r="B74" s="48" t="s">
        <v>95</v>
      </c>
      <c r="C74" s="195">
        <v>2024</v>
      </c>
      <c r="D74" s="103">
        <v>0.56000000000000005</v>
      </c>
      <c r="E74" s="103">
        <v>0.12</v>
      </c>
      <c r="F74" s="114">
        <f>(D74-E74)/D74</f>
        <v>0.7857142857142857</v>
      </c>
    </row>
    <row r="75" spans="2:33" ht="30.75" thickBot="1">
      <c r="B75" s="17" t="s">
        <v>96</v>
      </c>
      <c r="C75" s="196"/>
      <c r="D75" s="113">
        <v>0.56000000000000005</v>
      </c>
      <c r="E75" s="113">
        <v>0.02</v>
      </c>
      <c r="F75" s="115">
        <f>(D75-E75)/D75</f>
        <v>0.9642857142857143</v>
      </c>
      <c r="Z75" s="2"/>
    </row>
    <row r="76" spans="2:33">
      <c r="Z76" s="2"/>
    </row>
    <row r="77" spans="2:33">
      <c r="Z77" s="2"/>
    </row>
    <row r="79" spans="2:33">
      <c r="AG79" s="2"/>
    </row>
  </sheetData>
  <mergeCells count="7">
    <mergeCell ref="C74:C75"/>
    <mergeCell ref="C35:C37"/>
    <mergeCell ref="B9:C9"/>
    <mergeCell ref="C31:C33"/>
    <mergeCell ref="C51:C54"/>
    <mergeCell ref="C55:C58"/>
    <mergeCell ref="C72:C7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FF62-8F67-4C5C-9DD1-001EE1F74723}">
  <dimension ref="C6:P30"/>
  <sheetViews>
    <sheetView showGridLines="0" zoomScale="90" zoomScaleNormal="90" workbookViewId="0">
      <selection activeCell="H27" sqref="H27"/>
    </sheetView>
  </sheetViews>
  <sheetFormatPr defaultRowHeight="15"/>
  <cols>
    <col min="2" max="2" width="5.5703125" customWidth="1"/>
    <col min="3" max="3" width="17.28515625" customWidth="1"/>
    <col min="4" max="4" width="33.85546875" customWidth="1"/>
    <col min="5" max="5" width="22.7109375" customWidth="1"/>
    <col min="6" max="6" width="18.85546875" customWidth="1"/>
    <col min="7" max="7" width="15.85546875" customWidth="1"/>
    <col min="8" max="8" width="16.42578125" customWidth="1"/>
    <col min="9" max="9" width="15.5703125" customWidth="1"/>
    <col min="10" max="10" width="16.42578125" customWidth="1"/>
    <col min="11" max="11" width="16.140625" customWidth="1"/>
    <col min="12" max="12" width="10.7109375" customWidth="1"/>
    <col min="13" max="13" width="13.85546875" customWidth="1"/>
    <col min="14" max="14" width="15.42578125" customWidth="1"/>
    <col min="15" max="15" width="17" customWidth="1"/>
    <col min="16" max="16" width="19.42578125" customWidth="1"/>
  </cols>
  <sheetData>
    <row r="6" spans="3:10" s="7" customFormat="1">
      <c r="C6" s="21" t="s">
        <v>97</v>
      </c>
    </row>
    <row r="7" spans="3:10" ht="15.75" thickBot="1"/>
    <row r="8" spans="3:10">
      <c r="C8" s="193" t="s">
        <v>13</v>
      </c>
      <c r="D8" s="194"/>
    </row>
    <row r="9" spans="3:10">
      <c r="C9" s="67" t="s">
        <v>14</v>
      </c>
      <c r="D9" s="68" t="s">
        <v>15</v>
      </c>
    </row>
    <row r="10" spans="3:10">
      <c r="C10" s="8">
        <v>2023</v>
      </c>
      <c r="D10" s="9">
        <f>ROUNDDOWN(P23,0)</f>
        <v>1487</v>
      </c>
    </row>
    <row r="11" spans="3:10">
      <c r="C11" s="8">
        <v>2024</v>
      </c>
      <c r="D11" s="9">
        <f>ROUNDDOWN(P24,0)</f>
        <v>1487</v>
      </c>
    </row>
    <row r="12" spans="3:10">
      <c r="C12" s="8"/>
      <c r="D12" s="9"/>
    </row>
    <row r="13" spans="3:10">
      <c r="C13" s="8"/>
      <c r="D13" s="9"/>
    </row>
    <row r="14" spans="3:10">
      <c r="C14" s="8"/>
      <c r="D14" s="9"/>
    </row>
    <row r="15" spans="3:10">
      <c r="C15" s="8"/>
      <c r="D15" s="9"/>
    </row>
    <row r="16" spans="3:10" ht="15.75" thickBot="1">
      <c r="C16" s="10"/>
      <c r="D16" s="11"/>
      <c r="E16" s="1"/>
      <c r="F16" s="1"/>
      <c r="G16" s="1"/>
      <c r="H16" s="1"/>
      <c r="I16" s="1"/>
      <c r="J16" s="1"/>
    </row>
    <row r="17" spans="4:16">
      <c r="D17" s="1"/>
      <c r="E17" s="1"/>
      <c r="F17" s="1"/>
      <c r="G17" s="1"/>
      <c r="H17" s="1"/>
      <c r="I17" s="1"/>
      <c r="J17" s="1"/>
    </row>
    <row r="18" spans="4:16">
      <c r="D18" s="3"/>
      <c r="E18" s="1"/>
      <c r="F18" s="1"/>
      <c r="G18" s="1"/>
      <c r="H18" s="1"/>
      <c r="I18" s="1"/>
      <c r="J18" s="1"/>
    </row>
    <row r="19" spans="4:16">
      <c r="D19" s="1"/>
      <c r="E19" s="1"/>
      <c r="F19" s="1"/>
      <c r="G19" s="1"/>
      <c r="H19" s="1"/>
      <c r="I19" s="1"/>
      <c r="J19" s="1"/>
    </row>
    <row r="20" spans="4:16">
      <c r="D20" s="1"/>
      <c r="E20" s="1"/>
      <c r="F20" s="1"/>
      <c r="G20" s="1"/>
      <c r="H20" s="1"/>
      <c r="I20" s="1"/>
      <c r="J20" s="1"/>
    </row>
    <row r="21" spans="4:16" ht="58.5" customHeight="1">
      <c r="D21" s="38" t="s">
        <v>48</v>
      </c>
      <c r="E21" s="60" t="s">
        <v>21</v>
      </c>
      <c r="F21" s="60" t="s">
        <v>98</v>
      </c>
      <c r="G21" s="60" t="s">
        <v>99</v>
      </c>
      <c r="H21" s="60" t="s">
        <v>100</v>
      </c>
      <c r="I21" s="60" t="s">
        <v>101</v>
      </c>
      <c r="J21" s="60" t="s">
        <v>102</v>
      </c>
      <c r="K21" s="60" t="s">
        <v>103</v>
      </c>
      <c r="L21" s="60" t="s">
        <v>22</v>
      </c>
      <c r="M21" s="37" t="s">
        <v>104</v>
      </c>
      <c r="N21" s="60" t="s">
        <v>105</v>
      </c>
      <c r="O21" s="60" t="s">
        <v>106</v>
      </c>
      <c r="P21" s="60" t="s">
        <v>107</v>
      </c>
    </row>
    <row r="22" spans="4:16" ht="90">
      <c r="D22" s="29" t="s">
        <v>30</v>
      </c>
      <c r="E22" s="13" t="s">
        <v>33</v>
      </c>
      <c r="F22" s="13" t="s">
        <v>108</v>
      </c>
      <c r="G22" s="13" t="s">
        <v>109</v>
      </c>
      <c r="H22" s="13" t="s">
        <v>110</v>
      </c>
      <c r="I22" s="13" t="s">
        <v>111</v>
      </c>
      <c r="J22" s="13" t="s">
        <v>112</v>
      </c>
      <c r="K22" s="13" t="s">
        <v>113</v>
      </c>
      <c r="L22" s="13" t="s">
        <v>34</v>
      </c>
      <c r="M22" s="61" t="s">
        <v>114</v>
      </c>
      <c r="N22" s="62"/>
      <c r="O22" s="62"/>
      <c r="P22" s="61" t="s">
        <v>115</v>
      </c>
    </row>
    <row r="23" spans="4:16">
      <c r="D23" s="100">
        <v>2023</v>
      </c>
      <c r="E23" s="63">
        <v>0.94</v>
      </c>
      <c r="F23" s="124">
        <v>1000000</v>
      </c>
      <c r="G23" s="124">
        <v>0.35</v>
      </c>
      <c r="H23" s="124">
        <v>1000000</v>
      </c>
      <c r="I23" s="124">
        <v>0.05</v>
      </c>
      <c r="J23" s="63">
        <v>0.25</v>
      </c>
      <c r="K23" s="124">
        <v>0.76</v>
      </c>
      <c r="L23" s="46">
        <v>28</v>
      </c>
      <c r="M23" s="122">
        <v>0.15</v>
      </c>
      <c r="N23" s="109">
        <f>E23*((F23*G23)-(H23*I23))*J23*K23*L23/1000</f>
        <v>1500.24</v>
      </c>
      <c r="O23" s="109">
        <f>E23*F23*G23*(1-M23)*J23*K23*L23/1000</f>
        <v>1487.7380000000001</v>
      </c>
      <c r="P23" s="123">
        <f>MIN(N23:O23)</f>
        <v>1487.7380000000001</v>
      </c>
    </row>
    <row r="24" spans="4:16">
      <c r="D24" s="100">
        <v>2024</v>
      </c>
      <c r="E24" s="63">
        <v>0.94</v>
      </c>
      <c r="F24" s="124">
        <v>1000000</v>
      </c>
      <c r="G24" s="124">
        <v>0.35</v>
      </c>
      <c r="H24" s="124">
        <v>1000000</v>
      </c>
      <c r="I24" s="124">
        <v>0.05</v>
      </c>
      <c r="J24" s="63">
        <v>0.25</v>
      </c>
      <c r="K24" s="124">
        <v>0.76</v>
      </c>
      <c r="L24" s="46">
        <v>28</v>
      </c>
      <c r="M24" s="122">
        <v>0.15</v>
      </c>
      <c r="N24" s="109">
        <f>E24*((F24*G24)-(H24*I24))*J24*K24*L24/1000</f>
        <v>1500.24</v>
      </c>
      <c r="O24" s="109">
        <f>E24*F24*G24*(1-M24)*J24*K24*L24/1000</f>
        <v>1487.7380000000001</v>
      </c>
      <c r="P24" s="123">
        <f>MIN(N24:O24)</f>
        <v>1487.7380000000001</v>
      </c>
    </row>
    <row r="25" spans="4:16">
      <c r="D25" s="1"/>
      <c r="E25" s="1"/>
      <c r="F25" s="1"/>
      <c r="G25" s="1"/>
      <c r="H25" s="1"/>
      <c r="I25" s="1"/>
      <c r="J25" s="1"/>
    </row>
    <row r="26" spans="4:16">
      <c r="D26" s="1"/>
      <c r="E26" s="1"/>
      <c r="F26" s="1"/>
      <c r="G26" s="1"/>
      <c r="H26" s="1"/>
      <c r="I26" s="1"/>
      <c r="J26" s="1"/>
    </row>
    <row r="27" spans="4:16">
      <c r="D27" s="1"/>
      <c r="F27" s="1"/>
      <c r="G27" s="1"/>
      <c r="H27" s="1"/>
      <c r="I27" s="1"/>
      <c r="J27" s="1"/>
    </row>
    <row r="28" spans="4:16">
      <c r="D28" s="1"/>
      <c r="E28" s="1"/>
      <c r="F28" s="1"/>
      <c r="G28" s="1"/>
      <c r="H28" s="1"/>
      <c r="I28" s="1"/>
      <c r="J28" s="1"/>
      <c r="M28" s="1"/>
    </row>
    <row r="29" spans="4:16">
      <c r="D29" s="1"/>
      <c r="E29" s="1"/>
      <c r="F29" s="1"/>
      <c r="G29" s="1"/>
      <c r="H29" s="1"/>
      <c r="I29" s="1"/>
      <c r="J29" s="1"/>
    </row>
    <row r="30" spans="4:16">
      <c r="D30" s="1"/>
      <c r="E30" s="1"/>
      <c r="F30" s="1"/>
      <c r="G30" s="1"/>
      <c r="H30" s="1"/>
      <c r="I30" s="1"/>
      <c r="J30" s="1"/>
    </row>
  </sheetData>
  <mergeCells count="1">
    <mergeCell ref="C8:D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C0159-A964-4A46-AAA2-C564D1691813}">
  <dimension ref="A1:W99"/>
  <sheetViews>
    <sheetView showGridLines="0" topLeftCell="A10" zoomScale="80" zoomScaleNormal="80" workbookViewId="0">
      <selection activeCell="H43" sqref="H43"/>
    </sheetView>
  </sheetViews>
  <sheetFormatPr defaultRowHeight="15"/>
  <cols>
    <col min="3" max="3" width="30.140625" customWidth="1"/>
    <col min="4" max="4" width="35" customWidth="1"/>
    <col min="5" max="5" width="12.42578125" customWidth="1"/>
    <col min="6" max="6" width="21" customWidth="1"/>
    <col min="7" max="7" width="21.85546875" customWidth="1"/>
    <col min="8" max="8" width="22.28515625" customWidth="1"/>
    <col min="9" max="9" width="19" customWidth="1"/>
    <col min="10" max="10" width="20" customWidth="1"/>
    <col min="11" max="11" width="23.85546875" customWidth="1"/>
    <col min="12" max="12" width="28.42578125" customWidth="1"/>
  </cols>
  <sheetData>
    <row r="1" spans="1:9">
      <c r="A1" t="s">
        <v>3</v>
      </c>
    </row>
    <row r="5" spans="1:9" s="7" customFormat="1">
      <c r="C5" s="21" t="s">
        <v>116</v>
      </c>
    </row>
    <row r="6" spans="1:9" ht="15.75" thickBot="1"/>
    <row r="7" spans="1:9">
      <c r="C7" s="193" t="s">
        <v>117</v>
      </c>
      <c r="D7" s="194"/>
    </row>
    <row r="8" spans="1:9">
      <c r="C8" s="67" t="s">
        <v>14</v>
      </c>
      <c r="D8" s="68" t="s">
        <v>118</v>
      </c>
    </row>
    <row r="9" spans="1:9">
      <c r="C9" s="8">
        <v>2023</v>
      </c>
      <c r="D9" s="9">
        <f>H32</f>
        <v>19119</v>
      </c>
    </row>
    <row r="10" spans="1:9">
      <c r="C10" s="8">
        <v>2024</v>
      </c>
      <c r="D10" s="9">
        <f>H33</f>
        <v>2205</v>
      </c>
    </row>
    <row r="11" spans="1:9">
      <c r="C11" s="8"/>
      <c r="D11" s="9"/>
    </row>
    <row r="12" spans="1:9">
      <c r="C12" s="8"/>
      <c r="D12" s="9"/>
    </row>
    <row r="13" spans="1:9">
      <c r="C13" s="8"/>
      <c r="D13" s="9"/>
      <c r="E13" s="5"/>
      <c r="F13" s="5"/>
      <c r="G13" s="4"/>
      <c r="H13" s="5"/>
      <c r="I13" s="5"/>
    </row>
    <row r="14" spans="1:9">
      <c r="C14" s="8"/>
      <c r="D14" s="9"/>
      <c r="I14" s="1"/>
    </row>
    <row r="15" spans="1:9" ht="15.75" thickBot="1">
      <c r="C15" s="10"/>
      <c r="D15" s="11"/>
      <c r="I15" s="1"/>
    </row>
    <row r="16" spans="1:9">
      <c r="C16" s="64"/>
      <c r="D16" s="20"/>
      <c r="I16" s="1"/>
    </row>
    <row r="17" spans="3:9">
      <c r="C17" s="64"/>
      <c r="D17" s="20"/>
      <c r="I17" s="1"/>
    </row>
    <row r="18" spans="3:9">
      <c r="C18" s="64"/>
      <c r="D18" s="20"/>
      <c r="I18" s="1"/>
    </row>
    <row r="19" spans="3:9">
      <c r="C19" s="64"/>
      <c r="D19" s="20"/>
      <c r="I19" s="1"/>
    </row>
    <row r="20" spans="3:9">
      <c r="C20" s="64"/>
      <c r="D20" s="20"/>
      <c r="I20" s="1"/>
    </row>
    <row r="21" spans="3:9" s="7" customFormat="1">
      <c r="C21" s="21" t="s">
        <v>119</v>
      </c>
    </row>
    <row r="22" spans="3:9">
      <c r="C22" s="64"/>
      <c r="D22" s="20"/>
      <c r="I22" s="1"/>
    </row>
    <row r="23" spans="3:9">
      <c r="C23" s="64"/>
      <c r="D23" s="20"/>
      <c r="I23" s="1"/>
    </row>
    <row r="24" spans="3:9">
      <c r="C24" s="64"/>
      <c r="D24" s="20"/>
      <c r="I24" s="1"/>
    </row>
    <row r="25" spans="3:9">
      <c r="E25" s="1"/>
      <c r="F25" s="1"/>
      <c r="G25" s="1"/>
      <c r="H25" s="1"/>
      <c r="I25" s="1"/>
    </row>
    <row r="26" spans="3:9">
      <c r="E26" s="1"/>
      <c r="F26" s="1"/>
      <c r="G26" s="1"/>
      <c r="H26" s="1"/>
      <c r="I26" s="1"/>
    </row>
    <row r="27" spans="3:9">
      <c r="E27" s="1"/>
      <c r="F27" s="1"/>
      <c r="G27" s="1"/>
      <c r="H27" s="1"/>
      <c r="I27" s="1"/>
    </row>
    <row r="28" spans="3:9">
      <c r="C28" s="1"/>
      <c r="D28" s="1"/>
      <c r="E28" s="1"/>
      <c r="F28" s="1"/>
      <c r="G28" s="1"/>
      <c r="H28" s="1"/>
      <c r="I28" s="1"/>
    </row>
    <row r="29" spans="3:9">
      <c r="C29" s="1"/>
      <c r="D29" s="1"/>
      <c r="E29" s="1"/>
      <c r="F29" s="1"/>
      <c r="G29" s="1"/>
      <c r="H29" s="1"/>
      <c r="I29" s="1"/>
    </row>
    <row r="30" spans="3:9">
      <c r="C30" s="65" t="s">
        <v>48</v>
      </c>
      <c r="D30" s="66" t="s">
        <v>120</v>
      </c>
      <c r="E30" s="66" t="s">
        <v>121</v>
      </c>
      <c r="F30" s="66" t="s">
        <v>122</v>
      </c>
      <c r="G30" s="66" t="s">
        <v>123</v>
      </c>
      <c r="H30" s="66" t="s">
        <v>124</v>
      </c>
      <c r="I30" s="1"/>
    </row>
    <row r="31" spans="3:9" ht="60">
      <c r="C31" s="29" t="s">
        <v>30</v>
      </c>
      <c r="D31" s="13" t="s">
        <v>125</v>
      </c>
      <c r="E31" s="13" t="s">
        <v>126</v>
      </c>
      <c r="F31" s="13" t="s">
        <v>127</v>
      </c>
      <c r="G31" s="13" t="s">
        <v>128</v>
      </c>
      <c r="H31" s="13" t="s">
        <v>129</v>
      </c>
    </row>
    <row r="32" spans="3:9">
      <c r="C32" s="15">
        <v>2023</v>
      </c>
      <c r="D32" s="133">
        <f>ROUNDUP(L54,0)</f>
        <v>16929</v>
      </c>
      <c r="E32" s="133">
        <f>ROUNDUP((G92+G97),0)</f>
        <v>2063</v>
      </c>
      <c r="F32" s="133">
        <f>ROUNDUP(G80,0)</f>
        <v>5</v>
      </c>
      <c r="G32" s="133">
        <f>ROUNDUP(H71,0)</f>
        <v>122</v>
      </c>
      <c r="H32" s="134">
        <f>D32+E32+F32+G32</f>
        <v>19119</v>
      </c>
    </row>
    <row r="33" spans="3:12">
      <c r="C33" s="15">
        <v>2024</v>
      </c>
      <c r="D33" s="133">
        <f>ROUNDUP(L60,0)</f>
        <v>0</v>
      </c>
      <c r="E33" s="133">
        <f>ROUNDUP((G93+G98),0)</f>
        <v>2063</v>
      </c>
      <c r="F33" s="133">
        <f>ROUNDUP(G81,0)</f>
        <v>3</v>
      </c>
      <c r="G33" s="133">
        <f>ROUNDUP(H72,0)</f>
        <v>139</v>
      </c>
      <c r="H33" s="134">
        <f>D33+E33+F33+G33</f>
        <v>2205</v>
      </c>
    </row>
    <row r="38" spans="3:12" s="7" customFormat="1">
      <c r="C38" s="21" t="s">
        <v>130</v>
      </c>
    </row>
    <row r="47" spans="3:12">
      <c r="C47" s="65" t="s">
        <v>48</v>
      </c>
      <c r="D47" s="127" t="s">
        <v>14</v>
      </c>
      <c r="E47" s="37" t="s">
        <v>131</v>
      </c>
      <c r="F47" s="37" t="s">
        <v>132</v>
      </c>
      <c r="G47" s="37" t="s">
        <v>20</v>
      </c>
      <c r="H47" s="37" t="s">
        <v>133</v>
      </c>
      <c r="I47" s="37" t="s">
        <v>134</v>
      </c>
      <c r="J47" s="37" t="s">
        <v>22</v>
      </c>
      <c r="K47" s="37" t="s">
        <v>23</v>
      </c>
      <c r="L47" s="37" t="s">
        <v>120</v>
      </c>
    </row>
    <row r="48" spans="3:12" ht="105">
      <c r="C48" s="29" t="s">
        <v>30</v>
      </c>
      <c r="D48" s="71"/>
      <c r="E48" s="13" t="s">
        <v>135</v>
      </c>
      <c r="F48" s="13" t="s">
        <v>33</v>
      </c>
      <c r="G48" s="13" t="s">
        <v>136</v>
      </c>
      <c r="H48" s="13" t="s">
        <v>137</v>
      </c>
      <c r="I48" s="13" t="s">
        <v>138</v>
      </c>
      <c r="J48" s="13" t="s">
        <v>83</v>
      </c>
      <c r="K48" s="13" t="s">
        <v>35</v>
      </c>
      <c r="L48" s="13" t="s">
        <v>125</v>
      </c>
    </row>
    <row r="49" spans="3:12">
      <c r="C49" s="15" t="s">
        <v>139</v>
      </c>
      <c r="D49" s="200">
        <v>2023</v>
      </c>
      <c r="E49" s="100">
        <v>0.01</v>
      </c>
      <c r="F49" s="18">
        <v>1.06</v>
      </c>
      <c r="G49" s="124">
        <v>0.28999999999999998</v>
      </c>
      <c r="H49" s="124">
        <v>0.55000000000000004</v>
      </c>
      <c r="I49" s="124">
        <v>3974000</v>
      </c>
      <c r="J49" s="18">
        <v>28</v>
      </c>
      <c r="K49" s="18">
        <v>0.67</v>
      </c>
      <c r="L49" s="132">
        <f>E49*F49*G49*H49*I49*J49*K49/1000</f>
        <v>126.045472168</v>
      </c>
    </row>
    <row r="50" spans="3:12" ht="30">
      <c r="C50" s="72" t="s">
        <v>140</v>
      </c>
      <c r="D50" s="198"/>
      <c r="E50" s="100">
        <v>0.3</v>
      </c>
      <c r="F50" s="18">
        <v>1.06</v>
      </c>
      <c r="G50" s="124">
        <v>0.35</v>
      </c>
      <c r="H50" s="124">
        <v>0.5</v>
      </c>
      <c r="I50" s="124">
        <v>16093939</v>
      </c>
      <c r="J50" s="18">
        <v>28</v>
      </c>
      <c r="K50" s="18">
        <v>0.67</v>
      </c>
      <c r="L50" s="132">
        <f>E50*F50*G50*H50*I50*J50*K50/1000</f>
        <v>16801.975752365997</v>
      </c>
    </row>
    <row r="51" spans="3:12">
      <c r="C51" s="72" t="s">
        <v>141</v>
      </c>
      <c r="D51" s="198"/>
      <c r="E51" s="100"/>
      <c r="F51" s="18">
        <v>1.06</v>
      </c>
      <c r="G51" s="124"/>
      <c r="H51" s="124"/>
      <c r="I51" s="124"/>
      <c r="J51" s="18">
        <v>28</v>
      </c>
      <c r="K51" s="18">
        <v>0.67</v>
      </c>
      <c r="L51" s="132">
        <f>E51*F51*G51*H51*I51*J51*K51/1000</f>
        <v>0</v>
      </c>
    </row>
    <row r="52" spans="3:12" ht="30">
      <c r="C52" s="72" t="s">
        <v>142</v>
      </c>
      <c r="D52" s="198"/>
      <c r="E52" s="100"/>
      <c r="F52" s="18">
        <v>1.06</v>
      </c>
      <c r="G52" s="124"/>
      <c r="H52" s="124"/>
      <c r="I52" s="124"/>
      <c r="J52" s="18">
        <v>28</v>
      </c>
      <c r="K52" s="18">
        <v>0.67</v>
      </c>
      <c r="L52" s="132">
        <f>E52*F52*G52*H52*I52*J52*K52/1000</f>
        <v>0</v>
      </c>
    </row>
    <row r="53" spans="3:12" ht="30.75" thickBot="1">
      <c r="C53" s="128" t="s">
        <v>143</v>
      </c>
      <c r="D53" s="198"/>
      <c r="E53" s="100"/>
      <c r="F53" s="18">
        <v>1.06</v>
      </c>
      <c r="G53" s="124"/>
      <c r="H53" s="124"/>
      <c r="I53" s="124"/>
      <c r="J53" s="18">
        <v>28</v>
      </c>
      <c r="K53" s="18">
        <v>0.67</v>
      </c>
      <c r="L53" s="132">
        <f>E53*F53*G53*H53*I53*J53*K53/1000</f>
        <v>0</v>
      </c>
    </row>
    <row r="54" spans="3:12" ht="15.75" thickBot="1">
      <c r="C54" s="129" t="s">
        <v>144</v>
      </c>
      <c r="D54" s="201"/>
      <c r="E54" s="125"/>
      <c r="F54" s="125"/>
      <c r="G54" s="125"/>
      <c r="H54" s="125"/>
      <c r="I54" s="125"/>
      <c r="J54" s="125"/>
      <c r="K54" s="130"/>
      <c r="L54" s="131">
        <f>SUM(L49:L53)</f>
        <v>16928.021224533997</v>
      </c>
    </row>
    <row r="55" spans="3:12">
      <c r="C55" s="15" t="s">
        <v>139</v>
      </c>
      <c r="D55" s="200">
        <v>2024</v>
      </c>
      <c r="E55" s="100"/>
      <c r="F55" s="18">
        <v>1.06</v>
      </c>
      <c r="G55" s="124"/>
      <c r="H55" s="124"/>
      <c r="I55" s="124"/>
      <c r="J55" s="18">
        <v>28</v>
      </c>
      <c r="K55" s="18">
        <v>0.67</v>
      </c>
      <c r="L55" s="132">
        <f>E55*F55*G55*H55*I55*J55*K55/1000</f>
        <v>0</v>
      </c>
    </row>
    <row r="56" spans="3:12" ht="30">
      <c r="C56" s="72" t="s">
        <v>140</v>
      </c>
      <c r="D56" s="198"/>
      <c r="E56" s="100"/>
      <c r="F56" s="18">
        <v>1.06</v>
      </c>
      <c r="G56" s="124"/>
      <c r="H56" s="124"/>
      <c r="I56" s="124"/>
      <c r="J56" s="18">
        <v>28</v>
      </c>
      <c r="K56" s="18">
        <v>0.67</v>
      </c>
      <c r="L56" s="132">
        <f>E56*F56*G56*H56*I56*J56*K56/1000</f>
        <v>0</v>
      </c>
    </row>
    <row r="57" spans="3:12">
      <c r="C57" s="72" t="s">
        <v>141</v>
      </c>
      <c r="D57" s="198"/>
      <c r="E57" s="100"/>
      <c r="F57" s="18">
        <v>1.06</v>
      </c>
      <c r="G57" s="124"/>
      <c r="H57" s="124"/>
      <c r="I57" s="124"/>
      <c r="J57" s="18">
        <v>28</v>
      </c>
      <c r="K57" s="18">
        <v>0.67</v>
      </c>
      <c r="L57" s="132">
        <f>E57*F57*G57*H57*I57*J57*K57/1000</f>
        <v>0</v>
      </c>
    </row>
    <row r="58" spans="3:12" ht="30">
      <c r="C58" s="72" t="s">
        <v>142</v>
      </c>
      <c r="D58" s="198"/>
      <c r="E58" s="100"/>
      <c r="F58" s="18">
        <v>1.06</v>
      </c>
      <c r="G58" s="124"/>
      <c r="H58" s="124"/>
      <c r="I58" s="124"/>
      <c r="J58" s="18">
        <v>28</v>
      </c>
      <c r="K58" s="18">
        <v>0.67</v>
      </c>
      <c r="L58" s="132">
        <f>E58*F58*G58*H58*I58*J58*K58/1000</f>
        <v>0</v>
      </c>
    </row>
    <row r="59" spans="3:12" ht="30.75" thickBot="1">
      <c r="C59" s="128" t="s">
        <v>143</v>
      </c>
      <c r="D59" s="198"/>
      <c r="E59" s="100"/>
      <c r="F59" s="18">
        <v>1.06</v>
      </c>
      <c r="G59" s="124"/>
      <c r="H59" s="124"/>
      <c r="I59" s="124"/>
      <c r="J59" s="18">
        <v>28</v>
      </c>
      <c r="K59" s="18">
        <v>0.67</v>
      </c>
      <c r="L59" s="132">
        <f>E59*F59*G59*H59*I59*J59*K59/1000</f>
        <v>0</v>
      </c>
    </row>
    <row r="60" spans="3:12" ht="15.75" thickBot="1">
      <c r="C60" s="129" t="s">
        <v>144</v>
      </c>
      <c r="D60" s="201"/>
      <c r="E60" s="125"/>
      <c r="F60" s="125"/>
      <c r="G60" s="125"/>
      <c r="H60" s="125"/>
      <c r="I60" s="125"/>
      <c r="J60" s="125"/>
      <c r="K60" s="130"/>
      <c r="L60" s="131">
        <f>SUM(L55:L59)</f>
        <v>0</v>
      </c>
    </row>
    <row r="61" spans="3:12">
      <c r="C61" s="73"/>
      <c r="D61" s="22"/>
    </row>
    <row r="63" spans="3:12" s="7" customFormat="1">
      <c r="C63" s="21" t="s">
        <v>145</v>
      </c>
    </row>
    <row r="69" spans="3:8">
      <c r="C69" s="65" t="s">
        <v>48</v>
      </c>
      <c r="D69" s="40" t="s">
        <v>146</v>
      </c>
      <c r="E69" s="39" t="s">
        <v>147</v>
      </c>
      <c r="F69" s="39" t="s">
        <v>148</v>
      </c>
      <c r="G69" s="39" t="s">
        <v>149</v>
      </c>
      <c r="H69" s="66" t="s">
        <v>123</v>
      </c>
    </row>
    <row r="70" spans="3:8" ht="75">
      <c r="C70" s="29" t="s">
        <v>30</v>
      </c>
      <c r="D70" s="13" t="s">
        <v>150</v>
      </c>
      <c r="E70" s="13" t="s">
        <v>151</v>
      </c>
      <c r="F70" s="13" t="s">
        <v>152</v>
      </c>
      <c r="G70" s="70" t="s">
        <v>153</v>
      </c>
      <c r="H70" s="13" t="s">
        <v>128</v>
      </c>
    </row>
    <row r="71" spans="3:8">
      <c r="C71" s="100">
        <v>2023</v>
      </c>
      <c r="D71" s="100">
        <v>404</v>
      </c>
      <c r="E71" s="100">
        <v>5</v>
      </c>
      <c r="F71" s="100">
        <v>5</v>
      </c>
      <c r="G71" s="100">
        <v>0.3</v>
      </c>
      <c r="H71" s="132">
        <f>D71/E71*F71*G71</f>
        <v>121.19999999999999</v>
      </c>
    </row>
    <row r="72" spans="3:8">
      <c r="C72" s="100">
        <v>2024</v>
      </c>
      <c r="D72" s="100">
        <v>231</v>
      </c>
      <c r="E72" s="100">
        <v>5</v>
      </c>
      <c r="F72" s="100">
        <v>10</v>
      </c>
      <c r="G72" s="100">
        <v>0.3</v>
      </c>
      <c r="H72" s="132">
        <f>D72/E72*F72*G72</f>
        <v>138.6</v>
      </c>
    </row>
    <row r="74" spans="3:8">
      <c r="D74" s="1"/>
      <c r="E74" s="1"/>
      <c r="F74" s="1"/>
    </row>
    <row r="76" spans="3:8" s="7" customFormat="1">
      <c r="C76" s="21" t="s">
        <v>154</v>
      </c>
    </row>
    <row r="78" spans="3:8">
      <c r="C78" s="2"/>
    </row>
    <row r="79" spans="3:8" ht="45.75" thickBot="1">
      <c r="C79" s="38" t="s">
        <v>48</v>
      </c>
      <c r="D79" s="36" t="s">
        <v>31</v>
      </c>
      <c r="E79" s="74" t="s">
        <v>155</v>
      </c>
      <c r="F79" s="55" t="s">
        <v>156</v>
      </c>
      <c r="G79" s="66" t="s">
        <v>157</v>
      </c>
    </row>
    <row r="80" spans="3:8" ht="30.75" thickBot="1">
      <c r="C80" s="48" t="s">
        <v>158</v>
      </c>
      <c r="D80" s="112">
        <v>2023</v>
      </c>
      <c r="E80" s="103">
        <v>23</v>
      </c>
      <c r="F80" s="49">
        <v>0.2</v>
      </c>
      <c r="G80" s="111">
        <f>E80*F80</f>
        <v>4.6000000000000005</v>
      </c>
    </row>
    <row r="81" spans="3:23" ht="30">
      <c r="C81" s="48" t="s">
        <v>158</v>
      </c>
      <c r="D81" s="112">
        <v>2024</v>
      </c>
      <c r="E81" s="103">
        <v>15</v>
      </c>
      <c r="F81" s="49">
        <v>0.2</v>
      </c>
      <c r="G81" s="111">
        <f>E81*F81</f>
        <v>3</v>
      </c>
      <c r="W81" t="e">
        <f>#REF!</f>
        <v>#REF!</v>
      </c>
    </row>
    <row r="82" spans="3:23">
      <c r="W82" t="e">
        <f>#REF!</f>
        <v>#REF!</v>
      </c>
    </row>
    <row r="83" spans="3:23">
      <c r="W83" t="e">
        <f>#REF!</f>
        <v>#REF!</v>
      </c>
    </row>
    <row r="84" spans="3:23">
      <c r="W84" t="e">
        <f>#REF!</f>
        <v>#REF!</v>
      </c>
    </row>
    <row r="85" spans="3:23">
      <c r="W85" t="e">
        <f>#REF!</f>
        <v>#REF!</v>
      </c>
    </row>
    <row r="86" spans="3:23">
      <c r="W86">
        <f>U106</f>
        <v>0</v>
      </c>
    </row>
    <row r="88" spans="3:23" s="7" customFormat="1">
      <c r="C88" s="21" t="s">
        <v>159</v>
      </c>
    </row>
    <row r="90" spans="3:23">
      <c r="C90" s="2"/>
    </row>
    <row r="91" spans="3:23" ht="45">
      <c r="C91" s="75" t="s">
        <v>48</v>
      </c>
      <c r="D91" s="76" t="s">
        <v>31</v>
      </c>
      <c r="E91" s="77" t="s">
        <v>160</v>
      </c>
      <c r="F91" s="78" t="s">
        <v>161</v>
      </c>
      <c r="G91" s="79" t="s">
        <v>162</v>
      </c>
    </row>
    <row r="92" spans="3:23" ht="30">
      <c r="C92" s="14" t="s">
        <v>163</v>
      </c>
      <c r="D92" s="126">
        <v>2023</v>
      </c>
      <c r="E92" s="100">
        <v>1250</v>
      </c>
      <c r="F92" s="100">
        <v>1.3</v>
      </c>
      <c r="G92" s="106">
        <f>E92*F92</f>
        <v>1625</v>
      </c>
    </row>
    <row r="93" spans="3:23" ht="30">
      <c r="C93" s="14" t="s">
        <v>163</v>
      </c>
      <c r="D93" s="101">
        <v>2024</v>
      </c>
      <c r="E93" s="100">
        <v>1250</v>
      </c>
      <c r="F93" s="100">
        <v>1.3</v>
      </c>
      <c r="G93" s="106">
        <f>E93*F93</f>
        <v>1625</v>
      </c>
    </row>
    <row r="96" spans="3:23" ht="30">
      <c r="C96" s="75" t="s">
        <v>48</v>
      </c>
      <c r="D96" s="76" t="s">
        <v>31</v>
      </c>
      <c r="E96" s="77" t="s">
        <v>164</v>
      </c>
      <c r="F96" s="78" t="s">
        <v>165</v>
      </c>
      <c r="G96" s="79" t="s">
        <v>166</v>
      </c>
    </row>
    <row r="97" spans="3:21" ht="30">
      <c r="C97" s="14" t="s">
        <v>167</v>
      </c>
      <c r="D97" s="126">
        <v>2023</v>
      </c>
      <c r="E97" s="100">
        <v>1250</v>
      </c>
      <c r="F97" s="100">
        <v>0.35</v>
      </c>
      <c r="G97" s="106">
        <f>E97*F97</f>
        <v>437.5</v>
      </c>
    </row>
    <row r="98" spans="3:21" ht="30">
      <c r="C98" s="14" t="s">
        <v>167</v>
      </c>
      <c r="D98" s="101">
        <v>2024</v>
      </c>
      <c r="E98" s="100">
        <v>1250</v>
      </c>
      <c r="F98" s="100">
        <v>0.35</v>
      </c>
      <c r="G98" s="106">
        <f>E98*F98</f>
        <v>437.5</v>
      </c>
    </row>
    <row r="99" spans="3:21">
      <c r="U99" s="1"/>
    </row>
  </sheetData>
  <mergeCells count="3">
    <mergeCell ref="C7:D7"/>
    <mergeCell ref="D49:D54"/>
    <mergeCell ref="D55:D6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C011-9ED4-437F-BABF-FBD70277C21F}">
  <dimension ref="A1:W133"/>
  <sheetViews>
    <sheetView showGridLines="0" topLeftCell="A26" zoomScale="80" zoomScaleNormal="80" workbookViewId="0">
      <selection activeCell="L84" sqref="L84"/>
    </sheetView>
  </sheetViews>
  <sheetFormatPr defaultRowHeight="15"/>
  <cols>
    <col min="3" max="3" width="25.42578125" customWidth="1"/>
    <col min="4" max="4" width="35" customWidth="1"/>
    <col min="5" max="5" width="18.28515625" customWidth="1"/>
    <col min="6" max="6" width="21" customWidth="1"/>
    <col min="7" max="7" width="21.85546875" customWidth="1"/>
    <col min="8" max="8" width="22.28515625" customWidth="1"/>
    <col min="9" max="9" width="19" customWidth="1"/>
    <col min="10" max="10" width="20" customWidth="1"/>
    <col min="11" max="11" width="23.85546875" customWidth="1"/>
    <col min="12" max="12" width="28.42578125" customWidth="1"/>
  </cols>
  <sheetData>
    <row r="1" spans="1:9">
      <c r="A1" t="s">
        <v>3</v>
      </c>
    </row>
    <row r="5" spans="1:9" s="7" customFormat="1">
      <c r="C5" s="21" t="s">
        <v>168</v>
      </c>
    </row>
    <row r="6" spans="1:9" ht="15.75" thickBot="1"/>
    <row r="7" spans="1:9">
      <c r="C7" s="193" t="s">
        <v>117</v>
      </c>
      <c r="D7" s="194"/>
    </row>
    <row r="8" spans="1:9">
      <c r="C8" s="67" t="s">
        <v>14</v>
      </c>
      <c r="D8" s="68" t="s">
        <v>118</v>
      </c>
    </row>
    <row r="9" spans="1:9">
      <c r="C9" s="8">
        <v>2023</v>
      </c>
      <c r="D9" s="9">
        <f>H32</f>
        <v>2197</v>
      </c>
    </row>
    <row r="10" spans="1:9">
      <c r="C10" s="8">
        <v>2024</v>
      </c>
      <c r="D10" s="9">
        <f>H33</f>
        <v>2099</v>
      </c>
    </row>
    <row r="11" spans="1:9">
      <c r="C11" s="8"/>
      <c r="D11" s="9"/>
    </row>
    <row r="12" spans="1:9">
      <c r="C12" s="8"/>
      <c r="D12" s="9"/>
    </row>
    <row r="13" spans="1:9">
      <c r="C13" s="8"/>
      <c r="D13" s="9"/>
      <c r="E13" s="5"/>
      <c r="F13" s="5"/>
      <c r="G13" s="4"/>
      <c r="H13" s="5"/>
      <c r="I13" s="5"/>
    </row>
    <row r="14" spans="1:9">
      <c r="C14" s="8"/>
      <c r="D14" s="9"/>
      <c r="I14" s="1"/>
    </row>
    <row r="15" spans="1:9" ht="15.75" thickBot="1">
      <c r="C15" s="10"/>
      <c r="D15" s="11"/>
      <c r="I15" s="1"/>
    </row>
    <row r="16" spans="1:9">
      <c r="C16" s="64"/>
      <c r="D16" s="20"/>
      <c r="I16" s="1"/>
    </row>
    <row r="17" spans="3:9">
      <c r="C17" s="64"/>
      <c r="D17" s="20"/>
      <c r="I17" s="1"/>
    </row>
    <row r="18" spans="3:9">
      <c r="C18" s="64"/>
      <c r="D18" s="20"/>
      <c r="I18" s="1"/>
    </row>
    <row r="19" spans="3:9" s="7" customFormat="1">
      <c r="C19" s="21" t="s">
        <v>169</v>
      </c>
    </row>
    <row r="20" spans="3:9">
      <c r="C20" s="64"/>
      <c r="D20" s="20"/>
      <c r="I20" s="1"/>
    </row>
    <row r="21" spans="3:9">
      <c r="C21" s="64"/>
      <c r="D21" s="20"/>
      <c r="I21" s="1"/>
    </row>
    <row r="22" spans="3:9">
      <c r="C22" s="64"/>
      <c r="D22" s="20"/>
      <c r="I22" s="1"/>
    </row>
    <row r="23" spans="3:9">
      <c r="C23" s="64"/>
      <c r="D23" s="20"/>
      <c r="I23" s="1"/>
    </row>
    <row r="24" spans="3:9">
      <c r="C24" s="64"/>
      <c r="D24" s="20"/>
      <c r="I24" s="1"/>
    </row>
    <row r="25" spans="3:9">
      <c r="E25" s="1"/>
      <c r="F25" s="1"/>
      <c r="G25" s="1"/>
      <c r="H25" s="1"/>
      <c r="I25" s="1"/>
    </row>
    <row r="26" spans="3:9">
      <c r="E26" s="1"/>
      <c r="F26" s="1"/>
      <c r="G26" s="1"/>
      <c r="H26" s="1"/>
      <c r="I26" s="1"/>
    </row>
    <row r="27" spans="3:9">
      <c r="E27" s="1"/>
      <c r="F27" s="1"/>
      <c r="G27" s="1"/>
      <c r="H27" s="1"/>
      <c r="I27" s="1"/>
    </row>
    <row r="28" spans="3:9">
      <c r="C28" s="1"/>
      <c r="D28" s="1"/>
      <c r="E28" s="1"/>
      <c r="F28" s="1"/>
      <c r="G28" s="1"/>
      <c r="H28" s="1"/>
      <c r="I28" s="1"/>
    </row>
    <row r="29" spans="3:9">
      <c r="C29" s="1"/>
      <c r="D29" s="1"/>
      <c r="E29" s="1"/>
      <c r="F29" s="1"/>
      <c r="G29" s="1"/>
      <c r="H29" s="1"/>
      <c r="I29" s="1"/>
    </row>
    <row r="30" spans="3:9">
      <c r="C30" s="65" t="s">
        <v>48</v>
      </c>
      <c r="D30" s="66" t="s">
        <v>120</v>
      </c>
      <c r="E30" s="66" t="s">
        <v>121</v>
      </c>
      <c r="F30" s="66" t="s">
        <v>122</v>
      </c>
      <c r="G30" s="66" t="s">
        <v>123</v>
      </c>
      <c r="H30" s="66" t="s">
        <v>124</v>
      </c>
      <c r="I30" s="1"/>
    </row>
    <row r="31" spans="3:9" ht="60">
      <c r="C31" s="29" t="s">
        <v>30</v>
      </c>
      <c r="D31" s="13" t="s">
        <v>170</v>
      </c>
      <c r="E31" s="13" t="s">
        <v>126</v>
      </c>
      <c r="F31" s="13" t="s">
        <v>127</v>
      </c>
      <c r="G31" s="13" t="s">
        <v>128</v>
      </c>
      <c r="H31" s="13" t="s">
        <v>129</v>
      </c>
    </row>
    <row r="32" spans="3:9">
      <c r="C32" s="15">
        <v>2023</v>
      </c>
      <c r="D32" s="133">
        <f>ROUNDUP(F47,0)</f>
        <v>7</v>
      </c>
      <c r="E32" s="133">
        <f>ROUNDUP((G124+G129),0)</f>
        <v>2063</v>
      </c>
      <c r="F32" s="133">
        <f>ROUNDUP(G112,0)</f>
        <v>5</v>
      </c>
      <c r="G32" s="133">
        <f>ROUNDUP(H103,0)</f>
        <v>122</v>
      </c>
      <c r="H32" s="134">
        <f>D32+E32+F32+G32</f>
        <v>2197</v>
      </c>
    </row>
    <row r="33" spans="3:12">
      <c r="C33" s="15">
        <v>2024</v>
      </c>
      <c r="D33" s="133">
        <f>ROUNDUP(F48,0)</f>
        <v>7</v>
      </c>
      <c r="E33" s="133">
        <f>ROUNDUP((G125+G130),0)</f>
        <v>1950</v>
      </c>
      <c r="F33" s="133">
        <f>ROUNDUP(G113,0)</f>
        <v>3</v>
      </c>
      <c r="G33" s="133">
        <f>ROUNDUP(H104,0)</f>
        <v>139</v>
      </c>
      <c r="H33" s="134">
        <f>D33+E33+F33+G33</f>
        <v>2099</v>
      </c>
    </row>
    <row r="38" spans="3:12" s="7" customFormat="1">
      <c r="C38" s="21" t="s">
        <v>171</v>
      </c>
    </row>
    <row r="45" spans="3:12">
      <c r="C45" s="36" t="s">
        <v>31</v>
      </c>
      <c r="D45" s="74" t="s">
        <v>172</v>
      </c>
      <c r="E45" s="55" t="s">
        <v>173</v>
      </c>
      <c r="F45" s="66" t="s">
        <v>120</v>
      </c>
      <c r="L45" s="2"/>
    </row>
    <row r="46" spans="3:12" ht="105">
      <c r="C46" s="80"/>
      <c r="D46" s="81" t="s">
        <v>174</v>
      </c>
      <c r="E46" s="82" t="s">
        <v>175</v>
      </c>
      <c r="F46" s="83" t="s">
        <v>176</v>
      </c>
      <c r="L46" s="2"/>
    </row>
    <row r="47" spans="3:12">
      <c r="C47" s="44">
        <v>2023</v>
      </c>
      <c r="D47" s="109">
        <f>L66</f>
        <v>6.364730073333333</v>
      </c>
      <c r="E47" s="109">
        <f>L85</f>
        <v>0.53280546666666673</v>
      </c>
      <c r="F47" s="110">
        <f>D47+E47</f>
        <v>6.8975355399999998</v>
      </c>
    </row>
    <row r="48" spans="3:12">
      <c r="C48" s="51">
        <v>2024</v>
      </c>
      <c r="D48" s="120">
        <f>L69</f>
        <v>6.364730073333333</v>
      </c>
      <c r="E48" s="120">
        <f>L88</f>
        <v>0.53280546666666673</v>
      </c>
      <c r="F48" s="136">
        <f>D48+E48</f>
        <v>6.8975355399999998</v>
      </c>
    </row>
    <row r="54" spans="3:19" s="7" customFormat="1">
      <c r="C54" s="21" t="s">
        <v>177</v>
      </c>
    </row>
    <row r="55" spans="3:19">
      <c r="L55" s="5"/>
      <c r="M55" s="5"/>
      <c r="N55" s="5"/>
      <c r="O55" s="5"/>
      <c r="P55" s="4"/>
      <c r="Q55" s="5"/>
      <c r="R55" s="5"/>
      <c r="S55" s="5"/>
    </row>
    <row r="56" spans="3:19">
      <c r="L56" s="1"/>
      <c r="M56" s="1"/>
      <c r="N56" s="1"/>
      <c r="O56" s="1"/>
      <c r="P56" s="1"/>
      <c r="Q56" s="1"/>
      <c r="R56" s="1"/>
      <c r="S56" s="1"/>
    </row>
    <row r="57" spans="3:19">
      <c r="L57" s="1"/>
      <c r="M57" s="1"/>
      <c r="N57" s="1"/>
      <c r="O57" s="1"/>
      <c r="P57" s="1"/>
      <c r="Q57" s="1"/>
      <c r="R57" s="1"/>
      <c r="S57" s="1"/>
    </row>
    <row r="58" spans="3:19">
      <c r="L58" s="1"/>
      <c r="M58" s="1"/>
      <c r="N58" s="1"/>
      <c r="O58" s="1"/>
      <c r="P58" s="1"/>
      <c r="Q58" s="1"/>
      <c r="R58" s="1"/>
      <c r="S58" s="1"/>
    </row>
    <row r="62" spans="3:19">
      <c r="C62" s="69" t="s">
        <v>48</v>
      </c>
      <c r="D62" s="39" t="s">
        <v>14</v>
      </c>
      <c r="E62" s="66" t="s">
        <v>178</v>
      </c>
      <c r="F62" s="66" t="s">
        <v>179</v>
      </c>
      <c r="G62" s="66" t="s">
        <v>180</v>
      </c>
      <c r="H62" s="66" t="s">
        <v>181</v>
      </c>
      <c r="I62" s="66" t="s">
        <v>182</v>
      </c>
      <c r="J62" s="66" t="s">
        <v>183</v>
      </c>
      <c r="K62" s="66" t="s">
        <v>22</v>
      </c>
      <c r="L62" s="66" t="s">
        <v>172</v>
      </c>
    </row>
    <row r="63" spans="3:19" ht="45">
      <c r="C63" s="32" t="s">
        <v>30</v>
      </c>
      <c r="D63" s="71"/>
      <c r="E63" s="13" t="s">
        <v>184</v>
      </c>
      <c r="F63" s="13" t="s">
        <v>185</v>
      </c>
      <c r="G63" s="13" t="s">
        <v>186</v>
      </c>
      <c r="H63" s="13" t="s">
        <v>33</v>
      </c>
      <c r="I63" s="13" t="s">
        <v>187</v>
      </c>
      <c r="J63" s="13" t="s">
        <v>188</v>
      </c>
      <c r="K63" s="13" t="s">
        <v>83</v>
      </c>
      <c r="L63" s="13" t="s">
        <v>174</v>
      </c>
      <c r="N63" s="5"/>
      <c r="O63" s="5"/>
      <c r="P63" s="5"/>
      <c r="Q63" s="5"/>
      <c r="R63" s="4"/>
      <c r="S63" s="5"/>
    </row>
    <row r="64" spans="3:19">
      <c r="C64" s="72" t="s">
        <v>189</v>
      </c>
      <c r="D64" s="200">
        <v>2023</v>
      </c>
      <c r="E64" s="100">
        <v>250325</v>
      </c>
      <c r="F64" s="100">
        <v>0.01</v>
      </c>
      <c r="G64" s="18">
        <v>0.25700000000000001</v>
      </c>
      <c r="H64" s="18">
        <v>1.06</v>
      </c>
      <c r="I64" s="18">
        <v>0.5</v>
      </c>
      <c r="J64" s="18">
        <v>0.5</v>
      </c>
      <c r="K64" s="18">
        <v>28</v>
      </c>
      <c r="L64" s="109">
        <f>E64*F64*G64*H64*I64*J64*16/12*K64/1000</f>
        <v>6.364730073333333</v>
      </c>
      <c r="N64" s="1"/>
      <c r="O64" s="1"/>
      <c r="P64" s="1"/>
      <c r="Q64" s="1"/>
      <c r="R64" s="1"/>
      <c r="S64" s="1"/>
    </row>
    <row r="65" spans="1:19">
      <c r="C65" s="72" t="s">
        <v>190</v>
      </c>
      <c r="D65" s="198"/>
      <c r="E65" s="100"/>
      <c r="F65" s="100"/>
      <c r="G65" s="18">
        <v>0.5</v>
      </c>
      <c r="H65" s="18">
        <v>1.06</v>
      </c>
      <c r="I65" s="18">
        <v>0.5</v>
      </c>
      <c r="J65" s="18">
        <v>0.5</v>
      </c>
      <c r="K65" s="18">
        <v>28</v>
      </c>
      <c r="L65" s="109">
        <f>E65*F65*G65*H65*I65*J65*16/12*K65/1000</f>
        <v>0</v>
      </c>
      <c r="N65" s="1"/>
      <c r="O65" s="1"/>
      <c r="P65" s="1"/>
      <c r="Q65" s="1"/>
      <c r="R65" s="1"/>
      <c r="S65" s="1"/>
    </row>
    <row r="66" spans="1:19">
      <c r="C66" s="135" t="s">
        <v>144</v>
      </c>
      <c r="D66" s="199"/>
      <c r="E66" s="95"/>
      <c r="F66" s="95"/>
      <c r="G66" s="95"/>
      <c r="H66" s="95"/>
      <c r="I66" s="95"/>
      <c r="J66" s="95"/>
      <c r="K66" s="95"/>
      <c r="L66" s="92">
        <f>L64+L65</f>
        <v>6.364730073333333</v>
      </c>
      <c r="N66" s="1"/>
      <c r="O66" s="1"/>
      <c r="P66" s="1"/>
      <c r="Q66" s="1"/>
      <c r="R66" s="1"/>
      <c r="S66" s="1"/>
    </row>
    <row r="67" spans="1:19">
      <c r="C67" s="72" t="s">
        <v>189</v>
      </c>
      <c r="D67" s="200">
        <v>2024</v>
      </c>
      <c r="E67" s="100">
        <v>250325</v>
      </c>
      <c r="F67" s="100">
        <v>0.01</v>
      </c>
      <c r="G67" s="18">
        <v>0.25700000000000001</v>
      </c>
      <c r="H67" s="18">
        <v>1.06</v>
      </c>
      <c r="I67" s="18">
        <v>0.5</v>
      </c>
      <c r="J67" s="18">
        <v>0.5</v>
      </c>
      <c r="K67" s="18">
        <v>28</v>
      </c>
      <c r="L67" s="109">
        <f>E67*F67*G67*H67*I67*J67*16/12*K67/1000</f>
        <v>6.364730073333333</v>
      </c>
      <c r="N67" s="1"/>
      <c r="O67" s="1"/>
      <c r="P67" s="1"/>
      <c r="Q67" s="1"/>
      <c r="R67" s="1"/>
      <c r="S67" s="1"/>
    </row>
    <row r="68" spans="1:19">
      <c r="C68" s="72" t="s">
        <v>190</v>
      </c>
      <c r="D68" s="198"/>
      <c r="E68" s="100"/>
      <c r="F68" s="100"/>
      <c r="G68" s="18">
        <v>0.5</v>
      </c>
      <c r="H68" s="18">
        <v>1.06</v>
      </c>
      <c r="I68" s="18">
        <v>0.5</v>
      </c>
      <c r="J68" s="18">
        <v>0.5</v>
      </c>
      <c r="K68" s="18">
        <v>28</v>
      </c>
      <c r="L68" s="109">
        <f>E68*F68*G68*H68*I68*J68*16/12*K68/1000</f>
        <v>0</v>
      </c>
      <c r="N68" s="1"/>
      <c r="O68" s="1"/>
      <c r="P68" s="1"/>
      <c r="Q68" s="1"/>
      <c r="R68" s="1"/>
      <c r="S68" s="1"/>
    </row>
    <row r="69" spans="1:19">
      <c r="C69" s="135" t="s">
        <v>144</v>
      </c>
      <c r="D69" s="199"/>
      <c r="E69" s="95"/>
      <c r="F69" s="95"/>
      <c r="G69" s="95"/>
      <c r="H69" s="95"/>
      <c r="I69" s="95"/>
      <c r="J69" s="95"/>
      <c r="K69" s="95"/>
      <c r="L69" s="92">
        <f>L67+L68</f>
        <v>6.364730073333333</v>
      </c>
    </row>
    <row r="70" spans="1:19">
      <c r="C70" s="73"/>
      <c r="D70" s="22"/>
      <c r="G70" s="73"/>
    </row>
    <row r="71" spans="1:19">
      <c r="C71" s="73"/>
      <c r="D71" s="22"/>
    </row>
    <row r="72" spans="1:19">
      <c r="C72" s="73"/>
      <c r="D72" s="22"/>
    </row>
    <row r="73" spans="1:19">
      <c r="A73" s="7"/>
      <c r="B73" s="7"/>
      <c r="C73" s="21" t="s">
        <v>191</v>
      </c>
      <c r="D73" s="7"/>
      <c r="E73" s="7"/>
      <c r="F73" s="7"/>
      <c r="G73" s="7"/>
      <c r="H73" s="7"/>
      <c r="I73" s="7"/>
      <c r="J73" s="7"/>
      <c r="K73" s="7"/>
      <c r="L73" s="7"/>
    </row>
    <row r="74" spans="1:19">
      <c r="L74" s="5"/>
    </row>
    <row r="75" spans="1:19">
      <c r="L75" s="1"/>
    </row>
    <row r="76" spans="1:19">
      <c r="L76" s="1"/>
    </row>
    <row r="77" spans="1:19">
      <c r="L77" s="1"/>
    </row>
    <row r="81" spans="3:21">
      <c r="C81" s="69" t="s">
        <v>48</v>
      </c>
      <c r="D81" s="39" t="s">
        <v>14</v>
      </c>
      <c r="E81" s="66" t="s">
        <v>192</v>
      </c>
      <c r="F81" s="66" t="s">
        <v>180</v>
      </c>
      <c r="G81" s="66" t="s">
        <v>181</v>
      </c>
      <c r="H81" s="66" t="s">
        <v>193</v>
      </c>
      <c r="I81" s="66" t="s">
        <v>182</v>
      </c>
      <c r="J81" s="66" t="s">
        <v>183</v>
      </c>
      <c r="K81" s="66" t="s">
        <v>22</v>
      </c>
      <c r="L81" s="66" t="s">
        <v>173</v>
      </c>
    </row>
    <row r="82" spans="3:21" ht="45">
      <c r="C82" s="29" t="s">
        <v>30</v>
      </c>
      <c r="D82" s="71"/>
      <c r="E82" s="13" t="s">
        <v>194</v>
      </c>
      <c r="F82" s="13" t="s">
        <v>186</v>
      </c>
      <c r="G82" s="13" t="s">
        <v>33</v>
      </c>
      <c r="H82" s="13" t="s">
        <v>195</v>
      </c>
      <c r="I82" s="13" t="s">
        <v>187</v>
      </c>
      <c r="J82" s="13" t="s">
        <v>188</v>
      </c>
      <c r="K82" s="13" t="s">
        <v>83</v>
      </c>
      <c r="L82" s="13" t="s">
        <v>175</v>
      </c>
      <c r="O82" s="5"/>
      <c r="P82" s="5"/>
      <c r="Q82" s="5"/>
      <c r="R82" s="5"/>
      <c r="S82" s="4"/>
      <c r="T82" s="5"/>
      <c r="U82" s="5"/>
    </row>
    <row r="83" spans="3:21" ht="45">
      <c r="C83" s="72" t="s">
        <v>196</v>
      </c>
      <c r="D83" s="200">
        <v>2023</v>
      </c>
      <c r="E83" s="100">
        <v>1000</v>
      </c>
      <c r="F83" s="18">
        <v>0.5</v>
      </c>
      <c r="G83" s="18">
        <v>1.06</v>
      </c>
      <c r="H83" s="100">
        <v>0.1</v>
      </c>
      <c r="I83" s="100">
        <v>0.5</v>
      </c>
      <c r="J83" s="18">
        <v>0.5</v>
      </c>
      <c r="K83" s="18">
        <v>28</v>
      </c>
      <c r="L83" s="109">
        <f>E83*F83*G83*H83*I83*J83*16/12*K83/1000</f>
        <v>0.4946666666666667</v>
      </c>
      <c r="O83" s="1"/>
      <c r="P83" s="1"/>
      <c r="Q83" s="1"/>
      <c r="R83" s="1"/>
      <c r="S83" s="1"/>
      <c r="T83" s="1"/>
    </row>
    <row r="84" spans="3:21" ht="45">
      <c r="C84" s="72" t="s">
        <v>197</v>
      </c>
      <c r="D84" s="198"/>
      <c r="E84" s="100">
        <v>150</v>
      </c>
      <c r="F84" s="18">
        <v>0.25700000000000001</v>
      </c>
      <c r="G84" s="18">
        <v>1.06</v>
      </c>
      <c r="H84" s="100">
        <v>0.1</v>
      </c>
      <c r="I84" s="100">
        <v>0.5</v>
      </c>
      <c r="J84" s="18">
        <v>0.5</v>
      </c>
      <c r="K84" s="18">
        <v>28</v>
      </c>
      <c r="L84" s="109">
        <f>E84*F84*G84*H84*I84*J84*16/12*K84/1000</f>
        <v>3.81388E-2</v>
      </c>
      <c r="O84" s="1"/>
      <c r="P84" s="1"/>
      <c r="Q84" s="1"/>
      <c r="R84" s="1"/>
      <c r="S84" s="1"/>
      <c r="T84" s="1"/>
    </row>
    <row r="85" spans="3:21">
      <c r="C85" s="135" t="s">
        <v>144</v>
      </c>
      <c r="D85" s="199"/>
      <c r="E85" s="95"/>
      <c r="F85" s="95"/>
      <c r="G85" s="95"/>
      <c r="H85" s="95"/>
      <c r="I85" s="95"/>
      <c r="J85" s="95"/>
      <c r="K85" s="95"/>
      <c r="L85" s="92">
        <f>L83+L84</f>
        <v>0.53280546666666673</v>
      </c>
      <c r="O85" s="1"/>
      <c r="P85" s="1"/>
      <c r="Q85" s="1"/>
      <c r="R85" s="1"/>
      <c r="S85" s="1"/>
      <c r="T85" s="1"/>
    </row>
    <row r="86" spans="3:21" ht="45">
      <c r="C86" s="72" t="s">
        <v>196</v>
      </c>
      <c r="D86" s="200">
        <v>2024</v>
      </c>
      <c r="E86" s="100">
        <v>1000</v>
      </c>
      <c r="F86" s="18">
        <v>0.5</v>
      </c>
      <c r="G86" s="18">
        <v>1.06</v>
      </c>
      <c r="H86" s="100">
        <v>0.1</v>
      </c>
      <c r="I86" s="100">
        <v>0.5</v>
      </c>
      <c r="J86" s="18">
        <v>0.5</v>
      </c>
      <c r="K86" s="18">
        <v>28</v>
      </c>
      <c r="L86" s="109">
        <f>E86*F86*G86*H86*I86*J86*16/12*K86/1000</f>
        <v>0.4946666666666667</v>
      </c>
      <c r="O86" s="1"/>
      <c r="P86" s="1"/>
      <c r="Q86" s="1"/>
      <c r="R86" s="1"/>
      <c r="S86" s="1"/>
      <c r="T86" s="1"/>
    </row>
    <row r="87" spans="3:21" ht="45">
      <c r="C87" s="72" t="s">
        <v>197</v>
      </c>
      <c r="D87" s="198"/>
      <c r="E87" s="100">
        <v>150</v>
      </c>
      <c r="F87" s="18">
        <v>0.25700000000000001</v>
      </c>
      <c r="G87" s="18">
        <v>1.06</v>
      </c>
      <c r="H87" s="100">
        <v>0.1</v>
      </c>
      <c r="I87" s="100">
        <v>0.5</v>
      </c>
      <c r="J87" s="18">
        <v>0.5</v>
      </c>
      <c r="K87" s="18">
        <v>28</v>
      </c>
      <c r="L87" s="109">
        <f>E87*F87*G87*H87*I87*J87*16/12*K87/1000</f>
        <v>3.81388E-2</v>
      </c>
      <c r="O87" s="1"/>
      <c r="P87" s="1"/>
      <c r="Q87" s="1"/>
      <c r="R87" s="1"/>
      <c r="S87" s="1"/>
      <c r="T87" s="1"/>
    </row>
    <row r="88" spans="3:21">
      <c r="C88" s="135" t="s">
        <v>144</v>
      </c>
      <c r="D88" s="199"/>
      <c r="E88" s="95"/>
      <c r="F88" s="95"/>
      <c r="G88" s="95"/>
      <c r="H88" s="95"/>
      <c r="I88" s="95"/>
      <c r="J88" s="95"/>
      <c r="K88" s="95"/>
      <c r="L88" s="92">
        <f>L86+L87</f>
        <v>0.53280546666666673</v>
      </c>
    </row>
    <row r="90" spans="3:21">
      <c r="C90" s="73"/>
      <c r="D90" s="22"/>
    </row>
    <row r="91" spans="3:21">
      <c r="C91" s="73"/>
      <c r="D91" s="22"/>
    </row>
    <row r="92" spans="3:21">
      <c r="C92" s="73"/>
      <c r="D92" s="22"/>
    </row>
    <row r="93" spans="3:21">
      <c r="C93" s="73"/>
      <c r="D93" s="22"/>
    </row>
    <row r="94" spans="3:21">
      <c r="C94" s="73"/>
      <c r="D94" s="22"/>
    </row>
    <row r="95" spans="3:21" s="7" customFormat="1">
      <c r="C95" s="21" t="s">
        <v>145</v>
      </c>
    </row>
    <row r="101" spans="3:8">
      <c r="C101" s="65" t="s">
        <v>48</v>
      </c>
      <c r="D101" s="40" t="s">
        <v>146</v>
      </c>
      <c r="E101" s="39" t="s">
        <v>147</v>
      </c>
      <c r="F101" s="39" t="s">
        <v>148</v>
      </c>
      <c r="G101" s="39" t="s">
        <v>149</v>
      </c>
      <c r="H101" s="66" t="s">
        <v>123</v>
      </c>
    </row>
    <row r="102" spans="3:8" ht="60">
      <c r="C102" s="29" t="s">
        <v>30</v>
      </c>
      <c r="D102" s="13" t="s">
        <v>150</v>
      </c>
      <c r="E102" s="13" t="s">
        <v>151</v>
      </c>
      <c r="F102" s="13" t="s">
        <v>152</v>
      </c>
      <c r="G102" s="70" t="s">
        <v>153</v>
      </c>
      <c r="H102" s="13" t="s">
        <v>128</v>
      </c>
    </row>
    <row r="103" spans="3:8">
      <c r="C103" s="100">
        <v>2023</v>
      </c>
      <c r="D103" s="100">
        <v>404</v>
      </c>
      <c r="E103" s="100">
        <v>5</v>
      </c>
      <c r="F103" s="100">
        <v>5</v>
      </c>
      <c r="G103" s="100">
        <v>0.3</v>
      </c>
      <c r="H103" s="132">
        <f>D103/E103*F103*G103</f>
        <v>121.19999999999999</v>
      </c>
    </row>
    <row r="104" spans="3:8">
      <c r="C104" s="100">
        <v>2024</v>
      </c>
      <c r="D104" s="100">
        <v>231</v>
      </c>
      <c r="E104" s="100">
        <v>5</v>
      </c>
      <c r="F104" s="100">
        <v>10</v>
      </c>
      <c r="G104" s="100">
        <v>0.3</v>
      </c>
      <c r="H104" s="132">
        <f>D104/E104*F104*G104</f>
        <v>138.6</v>
      </c>
    </row>
    <row r="106" spans="3:8">
      <c r="D106" s="1"/>
      <c r="E106" s="1"/>
      <c r="F106" s="1"/>
    </row>
    <row r="108" spans="3:8" s="7" customFormat="1">
      <c r="C108" s="21" t="s">
        <v>154</v>
      </c>
    </row>
    <row r="110" spans="3:8">
      <c r="C110" s="2"/>
    </row>
    <row r="111" spans="3:8" ht="30.75" thickBot="1">
      <c r="C111" s="38" t="s">
        <v>48</v>
      </c>
      <c r="D111" s="36" t="s">
        <v>31</v>
      </c>
      <c r="E111" s="74" t="s">
        <v>155</v>
      </c>
      <c r="F111" s="55" t="s">
        <v>156</v>
      </c>
      <c r="G111" s="66" t="s">
        <v>157</v>
      </c>
    </row>
    <row r="112" spans="3:8" ht="30.75" thickBot="1">
      <c r="C112" s="48" t="s">
        <v>158</v>
      </c>
      <c r="D112" s="112">
        <v>2023</v>
      </c>
      <c r="E112" s="103">
        <v>23</v>
      </c>
      <c r="F112" s="49">
        <v>0.2</v>
      </c>
      <c r="G112" s="111">
        <f>E112*F112</f>
        <v>4.6000000000000005</v>
      </c>
    </row>
    <row r="113" spans="3:23" ht="30">
      <c r="C113" s="48" t="s">
        <v>158</v>
      </c>
      <c r="D113" s="112">
        <v>2024</v>
      </c>
      <c r="E113" s="103">
        <v>15</v>
      </c>
      <c r="F113" s="49">
        <v>0.2</v>
      </c>
      <c r="G113" s="111">
        <f>E113*F113</f>
        <v>3</v>
      </c>
      <c r="W113" t="e">
        <f>#REF!</f>
        <v>#REF!</v>
      </c>
    </row>
    <row r="114" spans="3:23">
      <c r="W114" t="e">
        <f>#REF!</f>
        <v>#REF!</v>
      </c>
    </row>
    <row r="115" spans="3:23">
      <c r="W115" t="e">
        <f>#REF!</f>
        <v>#REF!</v>
      </c>
    </row>
    <row r="116" spans="3:23">
      <c r="W116" t="e">
        <f>#REF!</f>
        <v>#REF!</v>
      </c>
    </row>
    <row r="117" spans="3:23">
      <c r="W117" t="e">
        <f>#REF!</f>
        <v>#REF!</v>
      </c>
    </row>
    <row r="118" spans="3:23">
      <c r="W118">
        <f>U138</f>
        <v>0</v>
      </c>
    </row>
    <row r="120" spans="3:23" s="7" customFormat="1">
      <c r="C120" s="21" t="s">
        <v>159</v>
      </c>
    </row>
    <row r="122" spans="3:23">
      <c r="C122" s="2"/>
    </row>
    <row r="123" spans="3:23" ht="30">
      <c r="C123" s="75" t="s">
        <v>48</v>
      </c>
      <c r="D123" s="76" t="s">
        <v>31</v>
      </c>
      <c r="E123" s="77" t="s">
        <v>160</v>
      </c>
      <c r="F123" s="78" t="s">
        <v>161</v>
      </c>
      <c r="G123" s="79" t="s">
        <v>162</v>
      </c>
    </row>
    <row r="124" spans="3:23" ht="30">
      <c r="C124" s="14" t="s">
        <v>163</v>
      </c>
      <c r="D124" s="126">
        <v>2023</v>
      </c>
      <c r="E124" s="100">
        <v>1250</v>
      </c>
      <c r="F124" s="100">
        <v>1.3</v>
      </c>
      <c r="G124" s="106">
        <f>E124*F124</f>
        <v>1625</v>
      </c>
    </row>
    <row r="125" spans="3:23" ht="30">
      <c r="C125" s="14" t="s">
        <v>163</v>
      </c>
      <c r="D125" s="101">
        <v>2024</v>
      </c>
      <c r="E125" s="100">
        <v>1250</v>
      </c>
      <c r="F125" s="100">
        <v>1.3</v>
      </c>
      <c r="G125" s="106">
        <f>E125*F125</f>
        <v>1625</v>
      </c>
    </row>
    <row r="128" spans="3:23" ht="30">
      <c r="C128" s="75" t="s">
        <v>48</v>
      </c>
      <c r="D128" s="76" t="s">
        <v>31</v>
      </c>
      <c r="E128" s="77" t="s">
        <v>164</v>
      </c>
      <c r="F128" s="78" t="s">
        <v>165</v>
      </c>
      <c r="G128" s="79" t="s">
        <v>166</v>
      </c>
    </row>
    <row r="129" spans="3:21" ht="30">
      <c r="C129" s="14" t="s">
        <v>167</v>
      </c>
      <c r="D129" s="126">
        <v>2023</v>
      </c>
      <c r="E129" s="100">
        <v>1250</v>
      </c>
      <c r="F129" s="100">
        <v>0.35</v>
      </c>
      <c r="G129" s="106">
        <f>E129*F129</f>
        <v>437.5</v>
      </c>
    </row>
    <row r="130" spans="3:21" ht="30">
      <c r="C130" s="14" t="s">
        <v>167</v>
      </c>
      <c r="D130" s="101">
        <v>2024</v>
      </c>
      <c r="E130" s="100">
        <v>1250</v>
      </c>
      <c r="F130" s="100">
        <v>0.26</v>
      </c>
      <c r="G130" s="106">
        <f>E130*F130</f>
        <v>325</v>
      </c>
    </row>
    <row r="131" spans="3:21">
      <c r="U131" s="1"/>
    </row>
    <row r="133" spans="3:21">
      <c r="U133" s="1"/>
    </row>
  </sheetData>
  <mergeCells count="5">
    <mergeCell ref="C7:D7"/>
    <mergeCell ref="D64:D66"/>
    <mergeCell ref="D67:D69"/>
    <mergeCell ref="D83:D85"/>
    <mergeCell ref="D86:D8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911B-DC8F-4EDE-8813-E62416986249}">
  <dimension ref="B1:M37"/>
  <sheetViews>
    <sheetView showGridLines="0" workbookViewId="0">
      <selection activeCell="E23" sqref="E23"/>
    </sheetView>
  </sheetViews>
  <sheetFormatPr defaultRowHeight="15"/>
  <cols>
    <col min="2" max="2" width="16.140625" customWidth="1"/>
    <col min="3" max="3" width="44.140625" customWidth="1"/>
    <col min="5" max="5" width="19.140625" customWidth="1"/>
    <col min="6" max="6" width="12.85546875" customWidth="1"/>
    <col min="7" max="7" width="17.28515625" customWidth="1"/>
  </cols>
  <sheetData>
    <row r="1" spans="2:6">
      <c r="F1" t="s">
        <v>3</v>
      </c>
    </row>
    <row r="6" spans="2:6">
      <c r="B6" s="21" t="s">
        <v>198</v>
      </c>
      <c r="C6" s="7"/>
      <c r="D6" s="7"/>
    </row>
    <row r="7" spans="2:6" ht="15.75" thickBot="1"/>
    <row r="8" spans="2:6">
      <c r="B8" s="193" t="s">
        <v>199</v>
      </c>
      <c r="C8" s="194"/>
    </row>
    <row r="9" spans="2:6">
      <c r="B9" s="67" t="s">
        <v>14</v>
      </c>
      <c r="C9" s="68" t="s">
        <v>200</v>
      </c>
    </row>
    <row r="10" spans="2:6">
      <c r="B10" s="8">
        <v>2023</v>
      </c>
      <c r="C10" s="9">
        <f>G31</f>
        <v>9875</v>
      </c>
    </row>
    <row r="11" spans="2:6">
      <c r="B11" s="8">
        <v>2024</v>
      </c>
      <c r="C11" s="9">
        <f>G32</f>
        <v>9875</v>
      </c>
    </row>
    <row r="12" spans="2:6">
      <c r="B12" s="8"/>
      <c r="C12" s="9"/>
    </row>
    <row r="13" spans="2:6">
      <c r="B13" s="8"/>
      <c r="C13" s="9"/>
    </row>
    <row r="14" spans="2:6">
      <c r="B14" s="8"/>
      <c r="C14" s="9"/>
      <c r="D14" s="5"/>
    </row>
    <row r="15" spans="2:6">
      <c r="B15" s="8"/>
      <c r="C15" s="9"/>
    </row>
    <row r="16" spans="2:6" ht="15.75" thickBot="1">
      <c r="B16" s="10"/>
      <c r="C16" s="11"/>
    </row>
    <row r="19" spans="3:7" s="7" customFormat="1">
      <c r="C19" s="21" t="s">
        <v>201</v>
      </c>
    </row>
    <row r="26" spans="3:7" s="7" customFormat="1">
      <c r="C26" s="21" t="s">
        <v>202</v>
      </c>
    </row>
    <row r="30" spans="3:7" ht="60">
      <c r="C30" s="75" t="s">
        <v>48</v>
      </c>
      <c r="D30" s="76" t="s">
        <v>31</v>
      </c>
      <c r="E30" s="77" t="s">
        <v>203</v>
      </c>
      <c r="F30" s="78" t="s">
        <v>204</v>
      </c>
      <c r="G30" s="79" t="s">
        <v>205</v>
      </c>
    </row>
    <row r="31" spans="3:7" ht="30">
      <c r="C31" s="14" t="s">
        <v>206</v>
      </c>
      <c r="D31" s="126">
        <v>2023</v>
      </c>
      <c r="E31" s="137">
        <v>1250</v>
      </c>
      <c r="F31" s="138">
        <v>7.9</v>
      </c>
      <c r="G31" s="134">
        <f>E31*F31</f>
        <v>9875</v>
      </c>
    </row>
    <row r="32" spans="3:7" ht="30">
      <c r="C32" s="14" t="s">
        <v>206</v>
      </c>
      <c r="D32" s="101">
        <v>2024</v>
      </c>
      <c r="E32" s="137">
        <v>1250</v>
      </c>
      <c r="F32" s="138">
        <v>7.9</v>
      </c>
      <c r="G32" s="134">
        <f>E32*F32</f>
        <v>9875</v>
      </c>
    </row>
    <row r="37" spans="13:13">
      <c r="M37" s="2"/>
    </row>
  </sheetData>
  <mergeCells count="1">
    <mergeCell ref="B8:C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20" ma:contentTypeDescription="Create a new document." ma:contentTypeScope="" ma:versionID="33310114c5e1c5d78470c21a1dd26b32">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29eb7b3a6bc09b2ca563c5b9d4504c50"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B238D-30AB-454E-A9E3-5586060653CD}"/>
</file>

<file path=customXml/itemProps2.xml><?xml version="1.0" encoding="utf-8"?>
<ds:datastoreItem xmlns:ds="http://schemas.openxmlformats.org/officeDocument/2006/customXml" ds:itemID="{2B7B7C25-13A9-407C-B756-D963E1C5CD32}"/>
</file>

<file path=customXml/itemProps3.xml><?xml version="1.0" encoding="utf-8"?>
<ds:datastoreItem xmlns:ds="http://schemas.openxmlformats.org/officeDocument/2006/customXml" ds:itemID="{77194DAB-4DE3-49E9-AF55-B8BD0BBF9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Ana Gonzalez</dc:creator>
  <cp:keywords/>
  <dc:description/>
  <cp:lastModifiedBy/>
  <cp:revision/>
  <dcterms:created xsi:type="dcterms:W3CDTF">2026-03-19T10:57:53Z</dcterms:created>
  <dcterms:modified xsi:type="dcterms:W3CDTF">2026-06-03T13:29:22Z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ies>
</file>